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lnosr\Documents\"/>
    </mc:Choice>
  </mc:AlternateContent>
  <bookViews>
    <workbookView xWindow="0" yWindow="0" windowWidth="15375" windowHeight="8460" activeTab="1"/>
  </bookViews>
  <sheets>
    <sheet name="Profile17" sheetId="2" r:id="rId1"/>
    <sheet name="SelectDemandStats17" sheetId="1" r:id="rId2"/>
    <sheet name="Profile14 - No Intnl" sheetId="3" state="hidden" r:id="rId3"/>
  </sheets>
  <externalReferences>
    <externalReference r:id="rId4"/>
  </externalReferences>
  <definedNames>
    <definedName name="_xlnm.Print_Area" localSheetId="2">'Profile14 - No Intnl'!$A$1:$L$184</definedName>
    <definedName name="_xlnm.Print_Area" localSheetId="0">Profile17!$A$1:$L$153</definedName>
    <definedName name="_xlnm.Print_Area" localSheetId="1">SelectDemandStats17!$A$1:$X$97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46" i="1" l="1"/>
  <c r="X45" i="1"/>
  <c r="X44" i="1"/>
  <c r="X43" i="1"/>
  <c r="X42" i="1"/>
  <c r="X41" i="1"/>
  <c r="X39" i="1"/>
  <c r="X37" i="1"/>
  <c r="K63" i="2" l="1"/>
  <c r="E31" i="2"/>
  <c r="E30" i="2"/>
  <c r="E29" i="2"/>
  <c r="C31" i="2"/>
  <c r="C30" i="2"/>
  <c r="C29" i="2"/>
  <c r="X52" i="1" l="1"/>
  <c r="X50" i="1"/>
  <c r="X49" i="1"/>
  <c r="X34" i="1"/>
  <c r="X33" i="1"/>
  <c r="X31" i="1"/>
  <c r="X21" i="1" l="1"/>
  <c r="X19" i="1"/>
  <c r="C136" i="2"/>
  <c r="C135" i="2"/>
  <c r="C133" i="2"/>
  <c r="C131" i="2"/>
  <c r="C130" i="2"/>
  <c r="C129" i="2"/>
  <c r="C128" i="2"/>
  <c r="C127" i="2"/>
  <c r="K53" i="2"/>
  <c r="L31" i="2" l="1"/>
  <c r="L30" i="2"/>
  <c r="L29" i="2"/>
  <c r="I32" i="2"/>
  <c r="I31" i="2"/>
  <c r="I30" i="2"/>
  <c r="I29" i="2"/>
  <c r="D18" i="2" l="1"/>
  <c r="D17" i="2"/>
  <c r="X4" i="1" l="1"/>
  <c r="B2" i="2" l="1"/>
  <c r="B1" i="2"/>
  <c r="W12" i="1"/>
  <c r="V45" i="1"/>
  <c r="V44" i="1"/>
  <c r="V42" i="1"/>
  <c r="V41" i="1"/>
  <c r="V38" i="1"/>
  <c r="V43" i="1" s="1"/>
  <c r="V46" i="1" s="1"/>
  <c r="V55" i="1"/>
  <c r="V52" i="1"/>
  <c r="V49" i="1"/>
  <c r="V53" i="1" s="1"/>
  <c r="V34" i="1"/>
  <c r="V33" i="1"/>
  <c r="V21" i="1"/>
  <c r="V19" i="1"/>
  <c r="U84" i="1"/>
  <c r="U85" i="1" s="1"/>
  <c r="U83" i="1"/>
  <c r="U82" i="1"/>
  <c r="V83" i="1"/>
  <c r="V82" i="1"/>
  <c r="V84" i="1"/>
  <c r="V85" i="1"/>
  <c r="W84" i="1"/>
  <c r="W85" i="1" s="1"/>
  <c r="W83" i="1"/>
  <c r="W82" i="1"/>
  <c r="W55" i="1"/>
  <c r="W52" i="1"/>
  <c r="W46" i="1"/>
  <c r="W45" i="1"/>
  <c r="W44" i="1"/>
  <c r="W43" i="1"/>
  <c r="W42" i="1"/>
  <c r="W41" i="1"/>
  <c r="W34" i="1"/>
  <c r="W33" i="1"/>
  <c r="W21" i="1"/>
  <c r="W19" i="1"/>
  <c r="F83" i="2"/>
  <c r="D83" i="2"/>
  <c r="D104" i="2"/>
  <c r="K117" i="2"/>
  <c r="K87" i="2"/>
  <c r="K80" i="2"/>
  <c r="L62" i="2"/>
  <c r="E62" i="2"/>
  <c r="U9" i="1"/>
  <c r="U66" i="1"/>
  <c r="U77" i="1" s="1"/>
  <c r="U64" i="1"/>
  <c r="U63" i="1"/>
  <c r="U60" i="1"/>
  <c r="U53" i="1"/>
  <c r="U52" i="1"/>
  <c r="U50" i="1"/>
  <c r="U47" i="1"/>
  <c r="U46" i="1"/>
  <c r="U34" i="1"/>
  <c r="U33" i="1"/>
  <c r="U21" i="1"/>
  <c r="U19" i="1"/>
  <c r="U4" i="1"/>
  <c r="V4" i="1" s="1"/>
  <c r="W4" i="1" s="1"/>
  <c r="K117" i="3"/>
  <c r="K118" i="3"/>
  <c r="D85" i="3"/>
  <c r="D84" i="3"/>
  <c r="D89" i="3"/>
  <c r="D88" i="3"/>
  <c r="D92" i="3" s="1"/>
  <c r="D87" i="3"/>
  <c r="D95" i="3"/>
  <c r="D100" i="3"/>
  <c r="D112" i="3"/>
  <c r="D74" i="3"/>
  <c r="D73" i="3"/>
  <c r="D97" i="3"/>
  <c r="D96" i="3"/>
  <c r="D94" i="3"/>
  <c r="U44" i="1"/>
  <c r="U45" i="1"/>
  <c r="U43" i="1"/>
  <c r="U71" i="1"/>
  <c r="U78" i="1"/>
  <c r="U70" i="1"/>
  <c r="U69" i="1"/>
  <c r="U76" i="1"/>
  <c r="U73" i="1"/>
  <c r="U75" i="1"/>
  <c r="U74" i="1"/>
  <c r="U72" i="1"/>
  <c r="U41" i="1"/>
  <c r="U42" i="1"/>
  <c r="U55" i="1"/>
  <c r="K86" i="3"/>
  <c r="K85" i="3"/>
  <c r="L80" i="3"/>
  <c r="C155" i="3"/>
  <c r="K62" i="3"/>
  <c r="AE147" i="3"/>
  <c r="F139" i="3"/>
  <c r="D132" i="3"/>
  <c r="D133" i="3"/>
  <c r="D134" i="3" s="1"/>
  <c r="D135" i="3" s="1"/>
  <c r="D136" i="3" s="1"/>
  <c r="D137" i="3" s="1"/>
  <c r="D138" i="3" s="1"/>
  <c r="A129" i="3"/>
  <c r="A130" i="3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D128" i="3"/>
  <c r="D129" i="3" s="1"/>
  <c r="D130" i="3" s="1"/>
  <c r="D131" i="3" s="1"/>
  <c r="L115" i="3"/>
  <c r="L113" i="3"/>
  <c r="F110" i="3"/>
  <c r="F98" i="3"/>
  <c r="F103" i="3" s="1"/>
  <c r="F96" i="3"/>
  <c r="F86" i="3"/>
  <c r="F85" i="3"/>
  <c r="F78" i="3"/>
  <c r="F82" i="3" s="1"/>
  <c r="K76" i="3"/>
  <c r="D82" i="3"/>
  <c r="L63" i="3"/>
  <c r="L61" i="3"/>
  <c r="L60" i="3"/>
  <c r="L59" i="3"/>
  <c r="L58" i="3"/>
  <c r="AQ57" i="3"/>
  <c r="L57" i="3"/>
  <c r="D57" i="3"/>
  <c r="AQ56" i="3"/>
  <c r="D56" i="3"/>
  <c r="D55" i="3"/>
  <c r="L54" i="3"/>
  <c r="D54" i="3"/>
  <c r="AJ53" i="3"/>
  <c r="L53" i="3"/>
  <c r="D53" i="3"/>
  <c r="J50" i="3"/>
  <c r="G50" i="3"/>
  <c r="F36" i="3"/>
  <c r="AJ32" i="3"/>
  <c r="AT31" i="3"/>
  <c r="AJ31" i="3"/>
  <c r="AT30" i="3"/>
  <c r="AJ30" i="3"/>
  <c r="AT29" i="3"/>
  <c r="AJ29" i="3"/>
  <c r="AT28" i="3"/>
  <c r="AJ28" i="3"/>
  <c r="AT27" i="3"/>
  <c r="AT32" i="3" s="1"/>
  <c r="AJ27" i="3"/>
  <c r="AT26" i="3"/>
  <c r="AJ26" i="3"/>
  <c r="AJ34" i="3"/>
  <c r="K15" i="3"/>
  <c r="E15" i="3"/>
  <c r="J13" i="3"/>
  <c r="I13" i="3"/>
  <c r="D13" i="3"/>
  <c r="C13" i="3"/>
  <c r="K12" i="3"/>
  <c r="E12" i="3"/>
  <c r="K11" i="3"/>
  <c r="E11" i="3"/>
  <c r="K10" i="3"/>
  <c r="E10" i="3"/>
  <c r="K9" i="3"/>
  <c r="K13" i="3" s="1"/>
  <c r="E9" i="3"/>
  <c r="K8" i="3"/>
  <c r="E8" i="3"/>
  <c r="L93" i="3"/>
  <c r="L106" i="3"/>
  <c r="L9" i="3"/>
  <c r="L85" i="3"/>
  <c r="L75" i="3"/>
  <c r="L78" i="3"/>
  <c r="L74" i="3"/>
  <c r="E64" i="3"/>
  <c r="F57" i="3"/>
  <c r="L98" i="3"/>
  <c r="L100" i="3"/>
  <c r="L92" i="3"/>
  <c r="D110" i="3"/>
  <c r="L112" i="3"/>
  <c r="L97" i="3"/>
  <c r="L101" i="3"/>
  <c r="L102" i="3"/>
  <c r="L11" i="3"/>
  <c r="AB9" i="3"/>
  <c r="L8" i="3"/>
  <c r="F55" i="3"/>
  <c r="F63" i="3"/>
  <c r="F62" i="3"/>
  <c r="F59" i="3"/>
  <c r="F54" i="3"/>
  <c r="F61" i="3"/>
  <c r="F60" i="3"/>
  <c r="F58" i="3"/>
  <c r="F56" i="3"/>
  <c r="F53" i="3"/>
  <c r="F64" i="3" s="1"/>
  <c r="P147" i="2"/>
  <c r="C152" i="2"/>
  <c r="F139" i="2"/>
  <c r="A129" i="2"/>
  <c r="A130" i="2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D128" i="2"/>
  <c r="D129" i="2"/>
  <c r="D130" i="2" s="1"/>
  <c r="D131" i="2" s="1"/>
  <c r="D132" i="2" s="1"/>
  <c r="D133" i="2" s="1"/>
  <c r="D134" i="2" s="1"/>
  <c r="D135" i="2" s="1"/>
  <c r="D136" i="2" s="1"/>
  <c r="D137" i="2" s="1"/>
  <c r="D138" i="2" s="1"/>
  <c r="K116" i="2"/>
  <c r="L105" i="2" s="1"/>
  <c r="F111" i="2"/>
  <c r="F115" i="2" s="1"/>
  <c r="D111" i="2"/>
  <c r="F93" i="2"/>
  <c r="D93" i="2"/>
  <c r="K76" i="2"/>
  <c r="W49" i="1" s="1"/>
  <c r="W53" i="1" s="1"/>
  <c r="L64" i="2"/>
  <c r="L61" i="2"/>
  <c r="L60" i="2"/>
  <c r="L59" i="2"/>
  <c r="L58" i="2"/>
  <c r="L57" i="2"/>
  <c r="AB56" i="2"/>
  <c r="AB57" i="2"/>
  <c r="L54" i="2"/>
  <c r="U53" i="2"/>
  <c r="L53" i="2"/>
  <c r="E64" i="2"/>
  <c r="F54" i="2" s="1"/>
  <c r="D53" i="2"/>
  <c r="J50" i="2"/>
  <c r="G50" i="2"/>
  <c r="L36" i="2"/>
  <c r="F36" i="2"/>
  <c r="L35" i="2"/>
  <c r="U32" i="2"/>
  <c r="AE31" i="2"/>
  <c r="U31" i="2"/>
  <c r="AE30" i="2"/>
  <c r="U30" i="2"/>
  <c r="AE29" i="2"/>
  <c r="U29" i="2"/>
  <c r="W29" i="2" s="1"/>
  <c r="AE28" i="2"/>
  <c r="U28" i="2"/>
  <c r="U27" i="2"/>
  <c r="W28" i="2"/>
  <c r="AE27" i="2"/>
  <c r="AE26" i="2"/>
  <c r="U26" i="2"/>
  <c r="U34" i="2" s="1"/>
  <c r="K15" i="2"/>
  <c r="E15" i="2"/>
  <c r="J13" i="2"/>
  <c r="I13" i="2"/>
  <c r="D13" i="2"/>
  <c r="C13" i="2"/>
  <c r="K12" i="2"/>
  <c r="E12" i="2"/>
  <c r="K11" i="2"/>
  <c r="E11" i="2"/>
  <c r="K10" i="2"/>
  <c r="E10" i="2"/>
  <c r="K9" i="2"/>
  <c r="E9" i="2"/>
  <c r="K8" i="2"/>
  <c r="E8" i="2"/>
  <c r="S105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S89" i="1"/>
  <c r="R89" i="1"/>
  <c r="Q89" i="1"/>
  <c r="S84" i="1"/>
  <c r="R84" i="1"/>
  <c r="R85" i="1" s="1"/>
  <c r="Q84" i="1"/>
  <c r="P84" i="1"/>
  <c r="O84" i="1"/>
  <c r="N84" i="1"/>
  <c r="M84" i="1"/>
  <c r="N85" i="1"/>
  <c r="L84" i="1"/>
  <c r="M85" i="1" s="1"/>
  <c r="R78" i="1"/>
  <c r="P78" i="1"/>
  <c r="O78" i="1"/>
  <c r="N78" i="1"/>
  <c r="M78" i="1"/>
  <c r="L78" i="1"/>
  <c r="R77" i="1"/>
  <c r="P77" i="1"/>
  <c r="O77" i="1"/>
  <c r="N77" i="1"/>
  <c r="M77" i="1"/>
  <c r="L77" i="1"/>
  <c r="R76" i="1"/>
  <c r="P76" i="1"/>
  <c r="O76" i="1"/>
  <c r="N76" i="1"/>
  <c r="M76" i="1"/>
  <c r="L76" i="1"/>
  <c r="R75" i="1"/>
  <c r="L75" i="1"/>
  <c r="R74" i="1"/>
  <c r="P74" i="1"/>
  <c r="O74" i="1"/>
  <c r="N74" i="1"/>
  <c r="M74" i="1"/>
  <c r="L74" i="1"/>
  <c r="R73" i="1"/>
  <c r="P73" i="1"/>
  <c r="O73" i="1"/>
  <c r="N73" i="1"/>
  <c r="M73" i="1"/>
  <c r="L73" i="1"/>
  <c r="R72" i="1"/>
  <c r="P72" i="1"/>
  <c r="O72" i="1"/>
  <c r="N72" i="1"/>
  <c r="M72" i="1"/>
  <c r="L72" i="1"/>
  <c r="R71" i="1"/>
  <c r="P71" i="1"/>
  <c r="O71" i="1"/>
  <c r="N71" i="1"/>
  <c r="M71" i="1"/>
  <c r="L71" i="1"/>
  <c r="R70" i="1"/>
  <c r="P70" i="1"/>
  <c r="O70" i="1"/>
  <c r="N70" i="1"/>
  <c r="M70" i="1"/>
  <c r="L70" i="1"/>
  <c r="Q67" i="1"/>
  <c r="T66" i="1"/>
  <c r="Q64" i="1"/>
  <c r="P64" i="1"/>
  <c r="P75" i="1"/>
  <c r="O64" i="1"/>
  <c r="O75" i="1" s="1"/>
  <c r="N64" i="1"/>
  <c r="N75" i="1"/>
  <c r="M64" i="1"/>
  <c r="M75" i="1" s="1"/>
  <c r="L64" i="1"/>
  <c r="T63" i="1"/>
  <c r="T74" i="1" s="1"/>
  <c r="R55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P46" i="1"/>
  <c r="O46" i="1"/>
  <c r="N46" i="1"/>
  <c r="M46" i="1"/>
  <c r="L46" i="1"/>
  <c r="R45" i="1"/>
  <c r="P45" i="1"/>
  <c r="O45" i="1"/>
  <c r="N45" i="1"/>
  <c r="M45" i="1"/>
  <c r="L45" i="1"/>
  <c r="R44" i="1"/>
  <c r="P44" i="1"/>
  <c r="O44" i="1"/>
  <c r="N44" i="1"/>
  <c r="M44" i="1"/>
  <c r="L44" i="1"/>
  <c r="P43" i="1"/>
  <c r="O43" i="1"/>
  <c r="N43" i="1"/>
  <c r="M43" i="1"/>
  <c r="L43" i="1"/>
  <c r="R42" i="1"/>
  <c r="P42" i="1"/>
  <c r="O42" i="1"/>
  <c r="N42" i="1"/>
  <c r="M42" i="1"/>
  <c r="L42" i="1"/>
  <c r="R41" i="1"/>
  <c r="P41" i="1"/>
  <c r="O41" i="1"/>
  <c r="N41" i="1"/>
  <c r="M41" i="1"/>
  <c r="L41" i="1"/>
  <c r="T39" i="1"/>
  <c r="T47" i="1" s="1"/>
  <c r="T69" i="1" s="1"/>
  <c r="S38" i="1"/>
  <c r="R38" i="1"/>
  <c r="R43" i="1" s="1"/>
  <c r="Q38" i="1"/>
  <c r="T34" i="1"/>
  <c r="S34" i="1"/>
  <c r="P34" i="1"/>
  <c r="O34" i="1"/>
  <c r="N34" i="1"/>
  <c r="M34" i="1"/>
  <c r="L34" i="1"/>
  <c r="T33" i="1"/>
  <c r="S33" i="1"/>
  <c r="P33" i="1"/>
  <c r="O33" i="1"/>
  <c r="N33" i="1"/>
  <c r="M33" i="1"/>
  <c r="L33" i="1"/>
  <c r="T23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N9" i="1"/>
  <c r="O85" i="1"/>
  <c r="T85" i="1"/>
  <c r="AE32" i="2"/>
  <c r="R46" i="1"/>
  <c r="F63" i="2"/>
  <c r="F104" i="2"/>
  <c r="T78" i="1"/>
  <c r="T42" i="1"/>
  <c r="T41" i="1"/>
  <c r="T76" i="1"/>
  <c r="T71" i="1"/>
  <c r="S47" i="1"/>
  <c r="S74" i="1" s="1"/>
  <c r="G104" i="2"/>
  <c r="S78" i="1"/>
  <c r="S42" i="1"/>
  <c r="S41" i="1"/>
  <c r="S43" i="1"/>
  <c r="G83" i="2"/>
  <c r="G113" i="2"/>
  <c r="G111" i="2"/>
  <c r="G108" i="2"/>
  <c r="G91" i="2"/>
  <c r="G88" i="2"/>
  <c r="G86" i="2"/>
  <c r="G85" i="2"/>
  <c r="G109" i="2"/>
  <c r="G102" i="2"/>
  <c r="G101" i="2"/>
  <c r="G100" i="2"/>
  <c r="G89" i="2"/>
  <c r="G79" i="2"/>
  <c r="G77" i="2"/>
  <c r="G76" i="2"/>
  <c r="G75" i="2"/>
  <c r="G74" i="2"/>
  <c r="G73" i="2"/>
  <c r="G72" i="2"/>
  <c r="G106" i="2"/>
  <c r="G98" i="2"/>
  <c r="G90" i="2"/>
  <c r="G115" i="2"/>
  <c r="G80" i="2"/>
  <c r="G107" i="2"/>
  <c r="G95" i="2"/>
  <c r="G96" i="2"/>
  <c r="G87" i="2"/>
  <c r="G78" i="2"/>
  <c r="G97" i="2"/>
  <c r="G93" i="2"/>
  <c r="G99" i="2"/>
  <c r="L95" i="2" l="1"/>
  <c r="L97" i="2"/>
  <c r="L115" i="2"/>
  <c r="L94" i="2"/>
  <c r="L93" i="2"/>
  <c r="L98" i="2"/>
  <c r="L103" i="2"/>
  <c r="L113" i="2"/>
  <c r="L112" i="2"/>
  <c r="L99" i="2"/>
  <c r="K118" i="2"/>
  <c r="L102" i="2"/>
  <c r="L106" i="2"/>
  <c r="L96" i="2"/>
  <c r="L111" i="2"/>
  <c r="L109" i="2"/>
  <c r="L107" i="2"/>
  <c r="L101" i="2"/>
  <c r="L100" i="2"/>
  <c r="L92" i="2"/>
  <c r="L104" i="2"/>
  <c r="L108" i="2"/>
  <c r="D115" i="2"/>
  <c r="E80" i="2" s="1"/>
  <c r="W50" i="1"/>
  <c r="K86" i="2"/>
  <c r="L76" i="2" s="1"/>
  <c r="F61" i="2"/>
  <c r="F56" i="2"/>
  <c r="F62" i="2"/>
  <c r="F57" i="2"/>
  <c r="F60" i="2"/>
  <c r="K13" i="2"/>
  <c r="S44" i="1"/>
  <c r="S45" i="1"/>
  <c r="S46" i="1"/>
  <c r="S71" i="1"/>
  <c r="T77" i="1"/>
  <c r="T43" i="1"/>
  <c r="S85" i="1"/>
  <c r="E13" i="3"/>
  <c r="AL28" i="3"/>
  <c r="AL29" i="3" s="1"/>
  <c r="AL30" i="3" s="1"/>
  <c r="AL31" i="3" s="1"/>
  <c r="AL32" i="3" s="1"/>
  <c r="F92" i="3"/>
  <c r="D103" i="3"/>
  <c r="D114" i="3" s="1"/>
  <c r="L73" i="3"/>
  <c r="L72" i="3"/>
  <c r="K87" i="3"/>
  <c r="L71" i="3"/>
  <c r="L76" i="3"/>
  <c r="L94" i="3"/>
  <c r="L109" i="3"/>
  <c r="L104" i="3"/>
  <c r="L107" i="3"/>
  <c r="L111" i="3"/>
  <c r="L103" i="3"/>
  <c r="L95" i="3"/>
  <c r="L96" i="3"/>
  <c r="K119" i="3"/>
  <c r="L99" i="3"/>
  <c r="S72" i="1"/>
  <c r="S73" i="1"/>
  <c r="S70" i="1"/>
  <c r="S75" i="1"/>
  <c r="Q43" i="1"/>
  <c r="Q47" i="1"/>
  <c r="T70" i="1"/>
  <c r="T73" i="1"/>
  <c r="T72" i="1"/>
  <c r="T46" i="1"/>
  <c r="T45" i="1"/>
  <c r="T75" i="1"/>
  <c r="T44" i="1"/>
  <c r="Q78" i="1"/>
  <c r="Q85" i="1"/>
  <c r="P85" i="1"/>
  <c r="W30" i="2"/>
  <c r="W31" i="2" s="1"/>
  <c r="W32" i="2" s="1"/>
  <c r="S76" i="1"/>
  <c r="S77" i="1"/>
  <c r="E13" i="2"/>
  <c r="F58" i="2"/>
  <c r="F55" i="2"/>
  <c r="F59" i="2"/>
  <c r="F53" i="2"/>
  <c r="AB58" i="2"/>
  <c r="AB59" i="2" s="1"/>
  <c r="L10" i="3"/>
  <c r="L13" i="3" s="1"/>
  <c r="L12" i="3"/>
  <c r="AQ58" i="3"/>
  <c r="AQ59" i="3" s="1"/>
  <c r="V50" i="1"/>
  <c r="E72" i="2" l="1"/>
  <c r="E108" i="2"/>
  <c r="E77" i="2"/>
  <c r="E97" i="2"/>
  <c r="E82" i="2"/>
  <c r="E98" i="2"/>
  <c r="E107" i="2"/>
  <c r="E86" i="2"/>
  <c r="E75" i="2"/>
  <c r="E109" i="2"/>
  <c r="E99" i="2"/>
  <c r="E83" i="2"/>
  <c r="E87" i="2"/>
  <c r="E74" i="2"/>
  <c r="E111" i="2"/>
  <c r="E95" i="2"/>
  <c r="E78" i="2"/>
  <c r="E100" i="2"/>
  <c r="E101" i="2"/>
  <c r="E91" i="2"/>
  <c r="E90" i="2"/>
  <c r="E88" i="2"/>
  <c r="E85" i="2"/>
  <c r="E96" i="2"/>
  <c r="E106" i="2"/>
  <c r="E73" i="2"/>
  <c r="E89" i="2"/>
  <c r="E79" i="2"/>
  <c r="E76" i="2"/>
  <c r="E81" i="2"/>
  <c r="E93" i="2"/>
  <c r="E102" i="2"/>
  <c r="E113" i="2"/>
  <c r="E104" i="2"/>
  <c r="L73" i="2"/>
  <c r="L74" i="2"/>
  <c r="L75" i="2"/>
  <c r="L71" i="2"/>
  <c r="L80" i="2"/>
  <c r="L78" i="2"/>
  <c r="L72" i="2"/>
  <c r="K88" i="2"/>
  <c r="L87" i="2" s="1"/>
  <c r="L11" i="2"/>
  <c r="M9" i="2"/>
  <c r="L10" i="2"/>
  <c r="L8" i="2"/>
  <c r="L12" i="2"/>
  <c r="L9" i="2"/>
  <c r="E99" i="3"/>
  <c r="E80" i="3"/>
  <c r="E85" i="3"/>
  <c r="E74" i="3"/>
  <c r="E76" i="3"/>
  <c r="E86" i="3"/>
  <c r="E95" i="3"/>
  <c r="E75" i="3"/>
  <c r="E72" i="3"/>
  <c r="E79" i="3"/>
  <c r="E108" i="3"/>
  <c r="E87" i="3"/>
  <c r="E98" i="3"/>
  <c r="E101" i="3"/>
  <c r="E90" i="3"/>
  <c r="E105" i="3"/>
  <c r="E77" i="3"/>
  <c r="E106" i="3"/>
  <c r="E107" i="3"/>
  <c r="E94" i="3"/>
  <c r="E73" i="3"/>
  <c r="E78" i="3"/>
  <c r="E82" i="3"/>
  <c r="E89" i="3"/>
  <c r="E100" i="3"/>
  <c r="E84" i="3"/>
  <c r="E96" i="3"/>
  <c r="E88" i="3"/>
  <c r="E112" i="3"/>
  <c r="E110" i="3"/>
  <c r="E97" i="3"/>
  <c r="E92" i="3"/>
  <c r="F9" i="2"/>
  <c r="E35" i="2"/>
  <c r="F35" i="2" s="1"/>
  <c r="F11" i="2"/>
  <c r="F11" i="3"/>
  <c r="F9" i="3"/>
  <c r="F8" i="2"/>
  <c r="AR63" i="3"/>
  <c r="AR64" i="3" s="1"/>
  <c r="L65" i="3" s="1"/>
  <c r="AC63" i="2"/>
  <c r="AC64" i="2" s="1"/>
  <c r="AQ63" i="3"/>
  <c r="AB63" i="2"/>
  <c r="F10" i="2"/>
  <c r="F12" i="3"/>
  <c r="F10" i="3"/>
  <c r="F114" i="3"/>
  <c r="G92" i="3" s="1"/>
  <c r="F64" i="2"/>
  <c r="Q74" i="1"/>
  <c r="Q46" i="1"/>
  <c r="Q77" i="1"/>
  <c r="Q76" i="1"/>
  <c r="Q71" i="1"/>
  <c r="Q73" i="1"/>
  <c r="Q45" i="1"/>
  <c r="Q70" i="1"/>
  <c r="Q75" i="1"/>
  <c r="Q42" i="1"/>
  <c r="Q44" i="1"/>
  <c r="Q41" i="1"/>
  <c r="Q72" i="1"/>
  <c r="E103" i="3"/>
  <c r="F8" i="3"/>
  <c r="F12" i="2"/>
  <c r="L86" i="2" l="1"/>
  <c r="L13" i="2"/>
  <c r="F13" i="2"/>
  <c r="F13" i="3"/>
  <c r="G110" i="3"/>
  <c r="G79" i="3"/>
  <c r="G97" i="3"/>
  <c r="G84" i="3"/>
  <c r="G76" i="3"/>
  <c r="G96" i="3"/>
  <c r="G114" i="3"/>
  <c r="G107" i="3"/>
  <c r="G89" i="3"/>
  <c r="G77" i="3"/>
  <c r="G106" i="3"/>
  <c r="G108" i="3"/>
  <c r="G74" i="3"/>
  <c r="G94" i="3"/>
  <c r="G101" i="3"/>
  <c r="G95" i="3"/>
  <c r="G72" i="3"/>
  <c r="G73" i="3"/>
  <c r="G80" i="3"/>
  <c r="G99" i="3"/>
  <c r="G112" i="3"/>
  <c r="G105" i="3"/>
  <c r="G90" i="3"/>
  <c r="G75" i="3"/>
  <c r="G100" i="3"/>
  <c r="G87" i="3"/>
  <c r="G88" i="3"/>
  <c r="G98" i="3"/>
  <c r="G85" i="3"/>
  <c r="G82" i="3"/>
  <c r="G78" i="3"/>
  <c r="G86" i="3"/>
  <c r="G103" i="3"/>
</calcChain>
</file>

<file path=xl/comments1.xml><?xml version="1.0" encoding="utf-8"?>
<comments xmlns="http://schemas.openxmlformats.org/spreadsheetml/2006/main">
  <authors>
    <author>Rennell, Randy (rennelr)</author>
  </authors>
  <commentList>
    <comment ref="T26" authorId="0" shapeId="0">
      <text>
        <r>
          <rPr>
            <sz val="9"/>
            <color indexed="81"/>
            <rFont val="Tahoma"/>
            <family val="2"/>
          </rPr>
          <t>All SATs, When ACT Concordance Used Average = 1161</t>
        </r>
      </text>
    </comment>
    <comment ref="U26" authorId="0" shapeId="0">
      <text>
        <r>
          <rPr>
            <sz val="9"/>
            <color indexed="81"/>
            <rFont val="Tahoma"/>
            <family val="2"/>
          </rPr>
          <t>All SATs, When ACT Concordance Used Average = 1161</t>
        </r>
      </text>
    </comment>
  </commentList>
</comments>
</file>

<file path=xl/comments2.xml><?xml version="1.0" encoding="utf-8"?>
<comments xmlns="http://schemas.openxmlformats.org/spreadsheetml/2006/main">
  <authors>
    <author>Rennell, Randy (rennelr)</author>
  </authors>
  <commentList>
    <comment ref="K58" authorId="0" shapeId="0">
      <text>
        <r>
          <rPr>
            <sz val="9"/>
            <color indexed="81"/>
            <rFont val="Tahoma"/>
            <family val="2"/>
          </rPr>
          <t>Parochial - 34
Private - 25</t>
        </r>
      </text>
    </comment>
  </commentList>
</comments>
</file>

<file path=xl/sharedStrings.xml><?xml version="1.0" encoding="utf-8"?>
<sst xmlns="http://schemas.openxmlformats.org/spreadsheetml/2006/main" count="1710" uniqueCount="498">
  <si>
    <t>Fall of:</t>
  </si>
  <si>
    <t>Fall of Year:</t>
  </si>
  <si>
    <t>Admissions Activity, all students entering fall of year shown:</t>
  </si>
  <si>
    <t># Fall Prospects Visiting Campus</t>
  </si>
  <si>
    <t># Fall Prospects Contacted thru Counselor Travel</t>
  </si>
  <si>
    <t>Correspondence codes = 'ACOCHS''ACOCCD''ACOCCF''ACOCCN''ACOCJAA''ACOCLPT'</t>
  </si>
  <si>
    <t># Referrals</t>
  </si>
  <si>
    <t>Correspondence codes = 'ACCRIAL''ACCRIPR"</t>
  </si>
  <si>
    <t>Includes Fellows, Eagles Abroad, NM</t>
  </si>
  <si>
    <t># Athletic Recruits (Ratings of 1,2,3,or 4)</t>
  </si>
  <si>
    <t xml:space="preserve">    Recruit  Inquiries</t>
  </si>
  <si>
    <t>na</t>
  </si>
  <si>
    <t xml:space="preserve">    Recruit Applications</t>
  </si>
  <si>
    <t xml:space="preserve">    Recruit Enrollees</t>
  </si>
  <si>
    <t>Admissions Yield, all students entering fall of year shown:</t>
  </si>
  <si>
    <t># Inquiries</t>
  </si>
  <si>
    <t># Applicants</t>
  </si>
  <si>
    <t># Acceptances</t>
  </si>
  <si>
    <t xml:space="preserve">     Selectivity - Accepts as % of Applicants</t>
  </si>
  <si>
    <t># Enrollees</t>
  </si>
  <si>
    <t xml:space="preserve">     Yield - Enrollees as % of Acceptances</t>
  </si>
  <si>
    <t xml:space="preserve">          # Freshmen</t>
  </si>
  <si>
    <t xml:space="preserve">          # Transfers</t>
  </si>
  <si>
    <t>Admissions Quality, First-time Unconditional Freshmen:</t>
  </si>
  <si>
    <t>Mean Composite SAT</t>
  </si>
  <si>
    <t>Average GPA</t>
  </si>
  <si>
    <t>% of Students in top 10% of HS Class</t>
  </si>
  <si>
    <t>Demographics, All New Incoming Students:</t>
  </si>
  <si>
    <t># Male</t>
  </si>
  <si>
    <t># Female</t>
  </si>
  <si>
    <t>% Male</t>
  </si>
  <si>
    <t>% Female</t>
  </si>
  <si>
    <t># Primary Market - Central PA</t>
  </si>
  <si>
    <t># Secondary Market - Other PA</t>
  </si>
  <si>
    <t># Tertiary Market - MD, NJ, NY, VA</t>
  </si>
  <si>
    <t># Other US</t>
  </si>
  <si>
    <t># International</t>
  </si>
  <si>
    <t>% Primary Market - Central PA</t>
  </si>
  <si>
    <t>% Secondary Market - Other PA</t>
  </si>
  <si>
    <t>% Tertiary Market - MD, NJ, NY, VA</t>
  </si>
  <si>
    <t>% Other US</t>
  </si>
  <si>
    <t>% International</t>
  </si>
  <si>
    <t xml:space="preserve">     % Out-of-State</t>
  </si>
  <si>
    <t>Total</t>
  </si>
  <si>
    <t>#  Domestic Minority Freshmen</t>
  </si>
  <si>
    <t xml:space="preserve">    % Domestic Minority</t>
  </si>
  <si>
    <t>#  International (V-4) Freshmen</t>
  </si>
  <si>
    <t xml:space="preserve">    % International</t>
  </si>
  <si>
    <t xml:space="preserve">         % Total Non-White Freshmen</t>
  </si>
  <si>
    <t>% First Generation</t>
  </si>
  <si>
    <t>Expected Program of Study, All New Incoming Students:</t>
  </si>
  <si>
    <t>Theatre</t>
  </si>
  <si>
    <t>Other Arts</t>
  </si>
  <si>
    <t>Humanities</t>
  </si>
  <si>
    <t>ABE</t>
  </si>
  <si>
    <t>Education</t>
  </si>
  <si>
    <t>Social Sciences</t>
  </si>
  <si>
    <t>Biology/Health</t>
  </si>
  <si>
    <t>ESS</t>
  </si>
  <si>
    <t>Other Science</t>
  </si>
  <si>
    <t>Exploratory</t>
  </si>
  <si>
    <t>% Theatre</t>
  </si>
  <si>
    <t>% Other Arts</t>
  </si>
  <si>
    <t>% Humanities</t>
  </si>
  <si>
    <t>% ABE</t>
  </si>
  <si>
    <t>% Education</t>
  </si>
  <si>
    <t>% Social Sciences</t>
  </si>
  <si>
    <t>% Biology/Pre-Health</t>
  </si>
  <si>
    <t>% ESS</t>
  </si>
  <si>
    <t>% Other Science</t>
  </si>
  <si>
    <t>% Exploratory</t>
  </si>
  <si>
    <t>Cost of Attendance:</t>
  </si>
  <si>
    <t>Tuition &amp; Fees</t>
  </si>
  <si>
    <t>Room &amp; Board</t>
  </si>
  <si>
    <t xml:space="preserve">    Total Sticker Price</t>
  </si>
  <si>
    <t xml:space="preserve">        % annual increase in sticker price</t>
  </si>
  <si>
    <t xml:space="preserve">    % With Need</t>
  </si>
  <si>
    <t>CDS</t>
  </si>
  <si>
    <r>
      <t> $</t>
    </r>
    <r>
      <rPr>
        <sz val="10"/>
        <rFont val="Calibri"/>
        <family val="2"/>
      </rPr>
      <t>16,401</t>
    </r>
  </si>
  <si>
    <r>
      <t>$ </t>
    </r>
    <r>
      <rPr>
        <sz val="10"/>
        <rFont val="Calibri"/>
        <family val="2"/>
      </rPr>
      <t>23,737</t>
    </r>
  </si>
  <si>
    <t>TUITION, FEES, ROOM, AND BOARD LESS all grants and scholarships</t>
  </si>
  <si>
    <r>
      <t>$ </t>
    </r>
    <r>
      <rPr>
        <sz val="10"/>
        <rFont val="Calibri"/>
        <family val="2"/>
      </rPr>
      <t>19,345</t>
    </r>
  </si>
  <si>
    <t>TUITION, FEES, ROOM, AND BOARD LESS all known grants, scholarships &amp; loans</t>
  </si>
  <si>
    <t>Fall Undergraduate Enrollment:</t>
  </si>
  <si>
    <t>Full-time Undergraduates</t>
  </si>
  <si>
    <t>Part-time Undergraduates</t>
  </si>
  <si>
    <t>PT FTE</t>
  </si>
  <si>
    <t xml:space="preserve">    TOTAL, All Undergraduates</t>
  </si>
  <si>
    <t>Full-time Graduate Students</t>
  </si>
  <si>
    <t>Part-time Graduate Students</t>
  </si>
  <si>
    <t>FT headcount, all students, plus actual PT FTE</t>
  </si>
  <si>
    <t>SAT-Critical Reading</t>
  </si>
  <si>
    <t>SAT-Math</t>
  </si>
  <si>
    <t>Range</t>
  </si>
  <si>
    <t># Men</t>
  </si>
  <si>
    <t># Women</t>
  </si>
  <si>
    <t>% of total</t>
  </si>
  <si>
    <t>700-800</t>
  </si>
  <si>
    <t>600-699</t>
  </si>
  <si>
    <t>500-599</t>
  </si>
  <si>
    <t>400-499</t>
  </si>
  <si>
    <t>Under 400</t>
  </si>
  <si>
    <t>Total*</t>
  </si>
  <si>
    <t>No SAT score</t>
  </si>
  <si>
    <t>75th Percentile</t>
  </si>
  <si>
    <t>25th Percentile</t>
  </si>
  <si>
    <t>Mean</t>
  </si>
  <si>
    <t xml:space="preserve">Mean </t>
  </si>
  <si>
    <t>Median</t>
  </si>
  <si>
    <t xml:space="preserve">COMPOSITE  SAT: </t>
  </si>
  <si>
    <t>Men</t>
  </si>
  <si>
    <t>Women</t>
  </si>
  <si>
    <t>CLASS RANK</t>
  </si>
  <si>
    <t>GPA</t>
  </si>
  <si>
    <t>Mean:</t>
  </si>
  <si>
    <t>75th Percentile:</t>
  </si>
  <si>
    <t>FtFR For Stats</t>
  </si>
  <si>
    <t>Rank Range</t>
  </si>
  <si>
    <t>1-M</t>
  </si>
  <si>
    <t>F</t>
  </si>
  <si>
    <t>Grand Total</t>
  </si>
  <si>
    <t>% of Total with scores</t>
  </si>
  <si>
    <t>Cumulative %</t>
  </si>
  <si>
    <t>GPA range</t>
  </si>
  <si>
    <t>% OF TOTAL WITH SCORES</t>
  </si>
  <si>
    <t>Median:</t>
  </si>
  <si>
    <t>25th Percentile:</t>
  </si>
  <si>
    <t>FtFR</t>
  </si>
  <si>
    <t>&lt; 50</t>
  </si>
  <si>
    <t>2.00-2.49</t>
  </si>
  <si>
    <t>top 10</t>
  </si>
  <si>
    <t>2.50-2.99</t>
  </si>
  <si>
    <t>HIGH SCHOOL RANK:</t>
  </si>
  <si>
    <t>HIGH SCHOOL GPA :</t>
  </si>
  <si>
    <t>top 20</t>
  </si>
  <si>
    <t>3.00-3.24</t>
  </si>
  <si>
    <t>Top 10%</t>
  </si>
  <si>
    <t>Top 30%</t>
  </si>
  <si>
    <t>3.00 and higher</t>
  </si>
  <si>
    <t>3.00 to 3.24</t>
  </si>
  <si>
    <t>top 25</t>
  </si>
  <si>
    <t>3.25-3.49</t>
  </si>
  <si>
    <t>Top 20%</t>
  </si>
  <si>
    <t>Top 40%</t>
  </si>
  <si>
    <t>3.75 and higher</t>
  </si>
  <si>
    <t>2.50 to 2.99</t>
  </si>
  <si>
    <t>top 30</t>
  </si>
  <si>
    <t>3.50-3.74</t>
  </si>
  <si>
    <t>Top 25%</t>
  </si>
  <si>
    <t>Top 50%</t>
  </si>
  <si>
    <t>3.50 to 3.74</t>
  </si>
  <si>
    <t>2.00 to 2.49</t>
  </si>
  <si>
    <t>top 40</t>
  </si>
  <si>
    <t>3.75+</t>
  </si>
  <si>
    <t>3.25 to 3.49</t>
  </si>
  <si>
    <t>Below 2.00</t>
  </si>
  <si>
    <t>top 50</t>
  </si>
  <si>
    <t>FtFR Total</t>
  </si>
  <si>
    <t xml:space="preserve">    25th Percentile:</t>
  </si>
  <si>
    <t xml:space="preserve">   75th Percentile:</t>
  </si>
  <si>
    <t>#DIV/0!</t>
  </si>
  <si>
    <t>#</t>
  </si>
  <si>
    <t>%</t>
  </si>
  <si>
    <t xml:space="preserve"># of Students submitting SAT scores:  </t>
  </si>
  <si>
    <t xml:space="preserve"># of Students submitting HS GPA: </t>
  </si>
  <si>
    <t xml:space="preserve"># of Students submitting ACT scores:  </t>
  </si>
  <si>
    <t xml:space="preserve"># of Students submitting HS Rank: </t>
  </si>
  <si>
    <t>Average ACT score</t>
  </si>
  <si>
    <r>
      <t>New Freshman inclu</t>
    </r>
    <r>
      <rPr>
        <sz val="11"/>
        <rFont val="Calibri"/>
        <family val="2"/>
        <scheme val="minor"/>
      </rPr>
      <t xml:space="preserve">de: </t>
    </r>
    <r>
      <rPr>
        <b/>
        <u/>
        <sz val="11"/>
        <color indexed="8"/>
        <rFont val="Times New Roman"/>
        <family val="1"/>
      </rPr>
      <t/>
    </r>
  </si>
  <si>
    <t>Valedictorians</t>
  </si>
  <si>
    <t>National Merit Scholars</t>
  </si>
  <si>
    <t>(Includes National Achievement, Natinal Hispanic, and National Merit)</t>
  </si>
  <si>
    <t>Salutatorians</t>
  </si>
  <si>
    <t xml:space="preserve">  (Commended Scholars,  Semi-finalists,  Finalists)</t>
  </si>
  <si>
    <t>ACADEMIC STATISTICS, Conditionally Enrolled First-time Freshmen</t>
  </si>
  <si>
    <t xml:space="preserve">SAT Means: </t>
  </si>
  <si>
    <t xml:space="preserve"> Verbal:</t>
  </si>
  <si>
    <t>Math:</t>
  </si>
  <si>
    <t>Composite:</t>
  </si>
  <si>
    <t xml:space="preserve">Grade Point Average:     </t>
  </si>
  <si>
    <t>ENROLLMENT STATISTICS, All First-time Freshmen:</t>
  </si>
  <si>
    <t xml:space="preserve"> </t>
  </si>
  <si>
    <t>Applications:</t>
  </si>
  <si>
    <t xml:space="preserve">Acceptances: </t>
  </si>
  <si>
    <t>Enrollees:</t>
  </si>
  <si>
    <t>Total All First-time Frosh</t>
  </si>
  <si>
    <t xml:space="preserve">GEOGRAPHIC </t>
  </si>
  <si>
    <t>State</t>
  </si>
  <si>
    <t>GENDER COMPOSITION:</t>
  </si>
  <si>
    <t>FR/ TR</t>
  </si>
  <si>
    <t>Geog Origin Intl?</t>
  </si>
  <si>
    <t>Geog Origin-State+Country</t>
  </si>
  <si>
    <t>DISTRIBUTION</t>
  </si>
  <si>
    <t xml:space="preserve">  Males:</t>
  </si>
  <si>
    <t>FR</t>
  </si>
  <si>
    <t>1-US</t>
  </si>
  <si>
    <t>PA</t>
  </si>
  <si>
    <t>OF ENROLLEES:</t>
  </si>
  <si>
    <t xml:space="preserve">  Females:</t>
  </si>
  <si>
    <t>MD</t>
  </si>
  <si>
    <t>NY</t>
  </si>
  <si>
    <t>HIGH SCHOOL TYPE:</t>
  </si>
  <si>
    <t>NJ</t>
  </si>
  <si>
    <t>12 Foreign Countries)</t>
  </si>
  <si>
    <t xml:space="preserve">  Public:</t>
  </si>
  <si>
    <t>CT</t>
  </si>
  <si>
    <t>See Below</t>
  </si>
  <si>
    <t xml:space="preserve">  Private:</t>
  </si>
  <si>
    <t>VA</t>
  </si>
  <si>
    <t>Home Schooled:</t>
  </si>
  <si>
    <t>CA</t>
  </si>
  <si>
    <t>Charter</t>
  </si>
  <si>
    <t>MA</t>
  </si>
  <si>
    <t>Unknown</t>
  </si>
  <si>
    <t>TX</t>
  </si>
  <si>
    <t>Other states*</t>
  </si>
  <si>
    <r>
      <t xml:space="preserve"># High Schools Represented: </t>
    </r>
    <r>
      <rPr>
        <sz val="10"/>
        <color indexed="10"/>
        <rFont val="Calibri"/>
        <family val="2"/>
        <scheme val="minor"/>
      </rPr>
      <t xml:space="preserve"> </t>
    </r>
  </si>
  <si>
    <t>CO</t>
  </si>
  <si>
    <t>Foreign*</t>
  </si>
  <si>
    <t>FIRST GENERATION:</t>
  </si>
  <si>
    <t>DC</t>
  </si>
  <si>
    <t>DE</t>
  </si>
  <si>
    <t>Average FRESHMAN AGE</t>
  </si>
  <si>
    <t>FL</t>
  </si>
  <si>
    <t>GA</t>
  </si>
  <si>
    <t>*  " Geographic Origin -  Other States &amp; Countries" See Below for Individual states/countries and counts.</t>
  </si>
  <si>
    <t>IA</t>
  </si>
  <si>
    <t>ID</t>
  </si>
  <si>
    <t>FRESHMAN PROGRAM DISTRIBUTION</t>
  </si>
  <si>
    <t>FRESHMAN ETHNICITY</t>
  </si>
  <si>
    <t>IL</t>
  </si>
  <si>
    <t>Imm Grp</t>
  </si>
  <si>
    <t>Updated Ethnic</t>
  </si>
  <si>
    <t>Admit Career Goal</t>
  </si>
  <si>
    <t>Actual Begin POE</t>
  </si>
  <si>
    <t>% of known</t>
  </si>
  <si>
    <t>KY</t>
  </si>
  <si>
    <t>intl</t>
  </si>
  <si>
    <t>4Asian</t>
  </si>
  <si>
    <t>Hispanic</t>
  </si>
  <si>
    <t>ME</t>
  </si>
  <si>
    <t>Trump Goal</t>
  </si>
  <si>
    <t>Car Goal</t>
  </si>
  <si>
    <t>Crnt Major</t>
  </si>
  <si>
    <t>(blank)</t>
  </si>
  <si>
    <t>Art</t>
  </si>
  <si>
    <t>Black</t>
  </si>
  <si>
    <t>MN</t>
  </si>
  <si>
    <t>1-Art</t>
  </si>
  <si>
    <t>intl Total</t>
  </si>
  <si>
    <t>Communication</t>
  </si>
  <si>
    <t>American Native</t>
  </si>
  <si>
    <t>MS</t>
  </si>
  <si>
    <t>2-Communication</t>
  </si>
  <si>
    <t>US</t>
  </si>
  <si>
    <t>1Hisp</t>
  </si>
  <si>
    <t>English</t>
  </si>
  <si>
    <t>Asian</t>
  </si>
  <si>
    <t>NC</t>
  </si>
  <si>
    <t>2-English</t>
  </si>
  <si>
    <t>2Black</t>
  </si>
  <si>
    <t>History</t>
  </si>
  <si>
    <t>Multi-racial</t>
  </si>
  <si>
    <t>NH</t>
  </si>
  <si>
    <t>2-History</t>
  </si>
  <si>
    <t>3Am Native</t>
  </si>
  <si>
    <t>Philosophy</t>
  </si>
  <si>
    <t xml:space="preserve">    Domestic Minority</t>
  </si>
  <si>
    <t>NM</t>
  </si>
  <si>
    <t>2-Philosophy</t>
  </si>
  <si>
    <t>Religion</t>
  </si>
  <si>
    <t>OH</t>
  </si>
  <si>
    <t>2-Religious Studies</t>
  </si>
  <si>
    <t>6Multi</t>
  </si>
  <si>
    <t xml:space="preserve">    White</t>
  </si>
  <si>
    <t>OR</t>
  </si>
  <si>
    <t>1-Theatre</t>
  </si>
  <si>
    <t>7White</t>
  </si>
  <si>
    <t>World Languages</t>
  </si>
  <si>
    <t>PR</t>
  </si>
  <si>
    <t>2-World Languages</t>
  </si>
  <si>
    <t>Arts &amp; Humanities, General</t>
  </si>
  <si>
    <t xml:space="preserve">    International (V-4)</t>
  </si>
  <si>
    <t>RI</t>
  </si>
  <si>
    <t>US Total</t>
  </si>
  <si>
    <t>VT</t>
  </si>
  <si>
    <t>FR Total</t>
  </si>
  <si>
    <t xml:space="preserve">  ARTS &amp; HUMANITIES TTL</t>
  </si>
  <si>
    <t>Unknown V4</t>
  </si>
  <si>
    <t>WA</t>
  </si>
  <si>
    <t>Total Known</t>
  </si>
  <si>
    <t>WV</t>
  </si>
  <si>
    <t>Accounting, Business &amp; Econ</t>
  </si>
  <si>
    <t xml:space="preserve">    Unknown</t>
  </si>
  <si>
    <t>CANADA</t>
  </si>
  <si>
    <t>3-ABE</t>
  </si>
  <si>
    <t>TOTAL</t>
  </si>
  <si>
    <t>CHINA</t>
  </si>
  <si>
    <t>4-Education</t>
  </si>
  <si>
    <t>IT/Computer Science</t>
  </si>
  <si>
    <t>FRANCE</t>
  </si>
  <si>
    <t>5-IT/CS</t>
  </si>
  <si>
    <t>Politics</t>
  </si>
  <si>
    <t>JAPAN</t>
  </si>
  <si>
    <t>5-Politics</t>
  </si>
  <si>
    <t>Count</t>
  </si>
  <si>
    <t>POE</t>
  </si>
  <si>
    <t>Psychology</t>
  </si>
  <si>
    <t>MOROCCO</t>
  </si>
  <si>
    <t>5-Psychology</t>
  </si>
  <si>
    <t>IT.DM</t>
  </si>
  <si>
    <t>Sociology/SW/Anthropology</t>
  </si>
  <si>
    <t>SOUTH KOREA</t>
  </si>
  <si>
    <t>5-Sociology</t>
  </si>
  <si>
    <t>P.MED</t>
  </si>
  <si>
    <t>P.DEN</t>
  </si>
  <si>
    <t>Social Sciences, General</t>
  </si>
  <si>
    <t>RELIGIOUS PREFERENCE</t>
  </si>
  <si>
    <t>TRINIDAD</t>
  </si>
  <si>
    <t>EB</t>
  </si>
  <si>
    <t>PL</t>
  </si>
  <si>
    <t>VIETNAM</t>
  </si>
  <si>
    <t>ENSCI</t>
  </si>
  <si>
    <t>AH.CY</t>
  </si>
  <si>
    <t xml:space="preserve">  SOCIAL SCIENCES TTL</t>
  </si>
  <si>
    <t>Assembly of God</t>
  </si>
  <si>
    <t>BI</t>
  </si>
  <si>
    <t>AH.NU</t>
  </si>
  <si>
    <t>Baptist</t>
  </si>
  <si>
    <t>EX</t>
  </si>
  <si>
    <t>AH.PA</t>
  </si>
  <si>
    <t>Pre-Allied Health</t>
  </si>
  <si>
    <t>Brethren</t>
  </si>
  <si>
    <t>Denomination</t>
  </si>
  <si>
    <t>6-P Allied Health</t>
  </si>
  <si>
    <t>PY</t>
  </si>
  <si>
    <t>BI.NS</t>
  </si>
  <si>
    <t>Pre-Professional Health</t>
  </si>
  <si>
    <t>Christian, General</t>
  </si>
  <si>
    <t>6-P Prof Health</t>
  </si>
  <si>
    <t>ED.SE</t>
  </si>
  <si>
    <t>EB.EN</t>
  </si>
  <si>
    <t>Biology</t>
  </si>
  <si>
    <t>Church of Christ</t>
  </si>
  <si>
    <t>7-Biology</t>
  </si>
  <si>
    <t>P.VET</t>
  </si>
  <si>
    <t>EB.HR</t>
  </si>
  <si>
    <t>Chemistry</t>
  </si>
  <si>
    <t>Episcopalian</t>
  </si>
  <si>
    <t>Christian</t>
  </si>
  <si>
    <t>9-Chemistry</t>
  </si>
  <si>
    <t>BI.WF</t>
  </si>
  <si>
    <t>EB.MG</t>
  </si>
  <si>
    <t>Earth &amp; Env Science</t>
  </si>
  <si>
    <t>Lutheran</t>
  </si>
  <si>
    <t>8-Earth &amp; Env Sci</t>
  </si>
  <si>
    <t>BI.CH</t>
  </si>
  <si>
    <t>EB.MK</t>
  </si>
  <si>
    <t xml:space="preserve">Mathematics </t>
  </si>
  <si>
    <t>Mennonite</t>
  </si>
  <si>
    <t>9-Math</t>
  </si>
  <si>
    <t>P.ENG</t>
  </si>
  <si>
    <t>ED.EL</t>
  </si>
  <si>
    <t>Physics/Pre-Engineering</t>
  </si>
  <si>
    <t>Methodist</t>
  </si>
  <si>
    <t>9-Physics</t>
  </si>
  <si>
    <t>PC</t>
  </si>
  <si>
    <t>EN.HC</t>
  </si>
  <si>
    <t>Natural Sciences, General</t>
  </si>
  <si>
    <t>Pentecostals</t>
  </si>
  <si>
    <t>CH</t>
  </si>
  <si>
    <t>FA.AT</t>
  </si>
  <si>
    <t>Presbyterian</t>
  </si>
  <si>
    <t>ED.PK</t>
  </si>
  <si>
    <t>FL.FR</t>
  </si>
  <si>
    <t xml:space="preserve">  NATURAL SCIENCES TTL</t>
  </si>
  <si>
    <t>Protestant</t>
  </si>
  <si>
    <t>EN</t>
  </si>
  <si>
    <t>FL.SP</t>
  </si>
  <si>
    <t>Quaker Society of Friends</t>
  </si>
  <si>
    <t>Buddhist</t>
  </si>
  <si>
    <t>MA.CS</t>
  </si>
  <si>
    <t>GL</t>
  </si>
  <si>
    <t>International Studies</t>
  </si>
  <si>
    <t>Unitarian</t>
  </si>
  <si>
    <t>Quaker Rel.Society of Friends</t>
  </si>
  <si>
    <t>5-International Studies</t>
  </si>
  <si>
    <t>EN.CM</t>
  </si>
  <si>
    <t>IT</t>
  </si>
  <si>
    <t>Peace &amp; Conflict Studies</t>
  </si>
  <si>
    <t>United Church Christ</t>
  </si>
  <si>
    <t>Unitarians</t>
  </si>
  <si>
    <t>5-PACS</t>
  </si>
  <si>
    <t>FA.MS</t>
  </si>
  <si>
    <t>LA.ES</t>
  </si>
  <si>
    <t>Philosophy, Politics, &amp; Econ</t>
  </si>
  <si>
    <t>Orthodox (Greek or Russian)</t>
  </si>
  <si>
    <t>HS</t>
  </si>
  <si>
    <t>LA.NS</t>
  </si>
  <si>
    <t>Liberal Arts, General</t>
  </si>
  <si>
    <t>Roman Catholic</t>
  </si>
  <si>
    <t>LA.PC</t>
  </si>
  <si>
    <t>P.LAW</t>
  </si>
  <si>
    <t>P.CHI</t>
  </si>
  <si>
    <t xml:space="preserve">   INTERDISCIPLINARY TTL</t>
  </si>
  <si>
    <t>Jewish</t>
  </si>
  <si>
    <t>EB.AC</t>
  </si>
  <si>
    <t>PS.IP</t>
  </si>
  <si>
    <t>Hindu</t>
  </si>
  <si>
    <t>ENSWC</t>
  </si>
  <si>
    <t>PS.IR</t>
  </si>
  <si>
    <t>Exploratory/Undeclared</t>
  </si>
  <si>
    <t>Moslem</t>
  </si>
  <si>
    <t>y-Exploratory</t>
  </si>
  <si>
    <t>FA.TP</t>
  </si>
  <si>
    <t>SO</t>
  </si>
  <si>
    <t>Other Religion</t>
  </si>
  <si>
    <t>AH.PT</t>
  </si>
  <si>
    <t>SO.CR</t>
  </si>
  <si>
    <t xml:space="preserve">            TOTAL</t>
  </si>
  <si>
    <t>Atheist/Agnostic</t>
  </si>
  <si>
    <t>EB.FN</t>
  </si>
  <si>
    <t>Undeclared</t>
  </si>
  <si>
    <t>ENSTU</t>
  </si>
  <si>
    <t>International Geographic Representation</t>
  </si>
  <si>
    <t>P.PHA</t>
  </si>
  <si>
    <t>Undeclared/Unknown</t>
  </si>
  <si>
    <t>PS.IS</t>
  </si>
  <si>
    <t># Country</t>
  </si>
  <si>
    <t>Country</t>
  </si>
  <si>
    <t>% of Total</t>
  </si>
  <si>
    <t>EB.EC</t>
  </si>
  <si>
    <t># States</t>
  </si>
  <si>
    <t>P. R. China</t>
  </si>
  <si>
    <t>EB.IB</t>
  </si>
  <si>
    <t>FA.AR</t>
  </si>
  <si>
    <t>P.OPT</t>
  </si>
  <si>
    <t>PS</t>
  </si>
  <si>
    <t>SO.AN</t>
  </si>
  <si>
    <t>SO.SW</t>
  </si>
  <si>
    <t>AH</t>
  </si>
  <si>
    <t>FA.AP</t>
  </si>
  <si>
    <t>ETHIOPIA</t>
  </si>
  <si>
    <t>FL.RU</t>
  </si>
  <si>
    <t>WI</t>
  </si>
  <si>
    <t>FTE, UG Students</t>
  </si>
  <si>
    <t>Domestic State Representation</t>
  </si>
  <si>
    <t>FRESHMAN PROFILE, CLASS OF 2018</t>
  </si>
  <si>
    <t>Freshmen Entering Juniata Fall 2014 - No International in Qualitative Information</t>
  </si>
  <si>
    <r>
      <t># Students:</t>
    </r>
    <r>
      <rPr>
        <b/>
        <sz val="11"/>
        <rFont val="Calibri"/>
        <family val="2"/>
        <scheme val="minor"/>
      </rPr>
      <t xml:space="preserve"> 26</t>
    </r>
  </si>
  <si>
    <t xml:space="preserve">(27 states &amp; </t>
  </si>
  <si>
    <t>GERMANY</t>
  </si>
  <si>
    <t>CZECH REP</t>
  </si>
  <si>
    <t>KS</t>
  </si>
  <si>
    <t>NV</t>
  </si>
  <si>
    <t>WY</t>
  </si>
  <si>
    <t>ZAMBIA</t>
  </si>
  <si>
    <t>8 Foreign Countries)</t>
  </si>
  <si>
    <t>White</t>
  </si>
  <si>
    <t>7th Day Adventist</t>
  </si>
  <si>
    <t>Christian Science</t>
  </si>
  <si>
    <t>Jehovah Witness</t>
  </si>
  <si>
    <t>Sikhism</t>
  </si>
  <si>
    <t>Freshmen and Transfer</t>
  </si>
  <si>
    <t>Admitted Athletes = 423</t>
  </si>
  <si>
    <t>Deposited Athletes = 157</t>
  </si>
  <si>
    <t>HS GPA Tot</t>
  </si>
  <si>
    <t xml:space="preserve">(22 states &amp; </t>
  </si>
  <si>
    <t>Rel/Par.</t>
  </si>
  <si>
    <t>Black V4</t>
  </si>
  <si>
    <t>Hispanic V4</t>
  </si>
  <si>
    <t>White V4</t>
  </si>
  <si>
    <t>Asian V4</t>
  </si>
  <si>
    <t>Muslim</t>
  </si>
  <si>
    <t>AZ</t>
  </si>
  <si>
    <t>INDIA</t>
  </si>
  <si>
    <t>Museum Studies</t>
  </si>
  <si>
    <t>IMA</t>
  </si>
  <si>
    <r>
      <t>Financial Aid, First-time Freshmen:</t>
    </r>
    <r>
      <rPr>
        <b/>
        <sz val="10"/>
        <color rgb="FFC00000"/>
        <rFont val="Calibri"/>
        <family val="2"/>
        <scheme val="minor"/>
      </rPr>
      <t xml:space="preserve">  All of this needs to be better defined</t>
    </r>
  </si>
  <si>
    <r>
      <t xml:space="preserve">Average Family Income </t>
    </r>
    <r>
      <rPr>
        <sz val="10"/>
        <color rgb="FFC00000"/>
        <rFont val="Calibri"/>
        <family val="2"/>
        <scheme val="minor"/>
      </rPr>
      <t>(or Parent Income?)</t>
    </r>
  </si>
  <si>
    <r>
      <t xml:space="preserve">    % of Need Met</t>
    </r>
    <r>
      <rPr>
        <sz val="10"/>
        <color rgb="FFC00000"/>
        <rFont val="Calibri"/>
        <family val="2"/>
        <scheme val="minor"/>
      </rPr>
      <t xml:space="preserve"> (Does aid that exceeds need count?)</t>
    </r>
  </si>
  <si>
    <r>
      <t>Average Need-based Grant</t>
    </r>
    <r>
      <rPr>
        <sz val="10"/>
        <color rgb="FFC00000"/>
        <rFont val="Calibri"/>
        <family val="2"/>
        <scheme val="minor"/>
      </rPr>
      <t xml:space="preserve"> (I assume this includes Merit)</t>
    </r>
  </si>
  <si>
    <r>
      <t>Average Merit-based Grant</t>
    </r>
    <r>
      <rPr>
        <sz val="10"/>
        <color rgb="FFC00000"/>
        <rFont val="Calibri"/>
        <family val="2"/>
        <scheme val="minor"/>
      </rPr>
      <t xml:space="preserve"> (Does this include only those who have no financial need?)</t>
    </r>
  </si>
  <si>
    <r>
      <t>New Student Discount Rate</t>
    </r>
    <r>
      <rPr>
        <sz val="10"/>
        <color rgb="FFC00000"/>
        <rFont val="Calibri"/>
        <family val="2"/>
        <scheme val="minor"/>
      </rPr>
      <t xml:space="preserve"> (Tuition or Tuition and Fee?)</t>
    </r>
  </si>
  <si>
    <r>
      <t>Avg Cost of Attendance (after scholarship &amp; grant)</t>
    </r>
    <r>
      <rPr>
        <sz val="10"/>
        <color rgb="FFC00000"/>
        <rFont val="Calibri"/>
        <family val="2"/>
        <scheme val="minor"/>
      </rPr>
      <t xml:space="preserve"> (Should this be tuition or all charges?)</t>
    </r>
  </si>
  <si>
    <r>
      <t>Avg Cost of Attendance (after scholarship, grant &amp; loan)</t>
    </r>
    <r>
      <rPr>
        <sz val="10"/>
        <color rgb="FFC00000"/>
        <rFont val="Calibri"/>
        <family val="2"/>
        <scheme val="minor"/>
      </rPr>
      <t xml:space="preserve"> (Which loans?)</t>
    </r>
  </si>
  <si>
    <r>
      <t>New Student Net Revenue</t>
    </r>
    <r>
      <rPr>
        <sz val="10"/>
        <color rgb="FFC00000"/>
        <rFont val="Calibri"/>
        <family val="2"/>
        <scheme val="minor"/>
      </rPr>
      <t xml:space="preserve"> (Tuition, Tuition and Fee, or all?)</t>
    </r>
  </si>
  <si>
    <r>
      <t># Admitted Students in Scholarship Programs</t>
    </r>
    <r>
      <rPr>
        <sz val="10"/>
        <color rgb="FFC00000"/>
        <rFont val="Calibri"/>
        <family val="2"/>
        <scheme val="minor"/>
      </rPr>
      <t xml:space="preserve"> (this needs further definition)</t>
    </r>
  </si>
  <si>
    <t>Selected Demand and Enrollment Statistics, 2013 through 2017</t>
  </si>
  <si>
    <r>
      <t># Students:</t>
    </r>
    <r>
      <rPr>
        <b/>
        <sz val="11"/>
        <rFont val="Calibri"/>
        <family val="2"/>
        <scheme val="minor"/>
      </rPr>
      <t xml:space="preserve"> 25</t>
    </r>
  </si>
  <si>
    <t>MI</t>
  </si>
  <si>
    <t>Cameroon</t>
  </si>
  <si>
    <t>P.R. China</t>
  </si>
  <si>
    <t>Japan</t>
  </si>
  <si>
    <t>Nepal</t>
  </si>
  <si>
    <t>Greece</t>
  </si>
  <si>
    <t>Ethiopia</t>
  </si>
  <si>
    <t>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</si>
</sst>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164" formatCode="0.0%"/>
    <numFmt numFmtId="165" formatCode="&quot;$&quot;#,##0"/>
    <numFmt numFmtId="166" formatCode="0.0"/>
    <numFmt numFmtId="167" formatCode="\(0%\)"/>
    <numFmt numFmtId="168" formatCode="0_);[Red]\(0\)"/>
    <numFmt numFmtId="169" formatCode="\(0.0%\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9"/>
      <color indexed="81"/>
      <name val="Tahoma"/>
      <family val="2"/>
    </font>
    <font>
      <i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indexed="8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0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u/>
      <sz val="11"/>
      <color indexed="8"/>
      <name val="Times New Roman"/>
      <family val="1"/>
    </font>
    <font>
      <sz val="10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u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A9600"/>
        <bgColor indexed="64"/>
      </patternFill>
    </fill>
    <fill>
      <patternFill patternType="solid">
        <fgColor rgb="FFA29E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theme="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63">
    <xf numFmtId="0" fontId="0" fillId="0" borderId="0" xfId="0"/>
    <xf numFmtId="0" fontId="4" fillId="0" borderId="0" xfId="2" applyFont="1" applyAlignment="1"/>
    <xf numFmtId="0" fontId="5" fillId="0" borderId="0" xfId="2" applyFont="1"/>
    <xf numFmtId="0" fontId="6" fillId="0" borderId="0" xfId="2" applyFont="1" applyAlignment="1">
      <alignment horizontal="center"/>
    </xf>
    <xf numFmtId="0" fontId="7" fillId="0" borderId="0" xfId="2" applyFont="1"/>
    <xf numFmtId="0" fontId="5" fillId="2" borderId="1" xfId="2" applyFont="1" applyFill="1" applyBorder="1"/>
    <xf numFmtId="0" fontId="5" fillId="2" borderId="2" xfId="2" applyFont="1" applyFill="1" applyBorder="1"/>
    <xf numFmtId="0" fontId="8" fillId="3" borderId="3" xfId="2" applyFont="1" applyFill="1" applyBorder="1" applyAlignment="1"/>
    <xf numFmtId="0" fontId="8" fillId="3" borderId="4" xfId="2" applyFont="1" applyFill="1" applyBorder="1" applyAlignment="1"/>
    <xf numFmtId="0" fontId="5" fillId="0" borderId="0" xfId="2" applyFont="1" applyAlignment="1">
      <alignment horizontal="center"/>
    </xf>
    <xf numFmtId="0" fontId="5" fillId="2" borderId="8" xfId="2" applyFont="1" applyFill="1" applyBorder="1"/>
    <xf numFmtId="0" fontId="5" fillId="2" borderId="9" xfId="2" applyFont="1" applyFill="1" applyBorder="1"/>
    <xf numFmtId="0" fontId="8" fillId="4" borderId="10" xfId="2" applyFont="1" applyFill="1" applyBorder="1" applyAlignment="1">
      <alignment horizontal="center"/>
    </xf>
    <xf numFmtId="0" fontId="8" fillId="4" borderId="11" xfId="2" applyFont="1" applyFill="1" applyBorder="1" applyAlignment="1">
      <alignment horizontal="center"/>
    </xf>
    <xf numFmtId="0" fontId="8" fillId="4" borderId="12" xfId="2" applyFont="1" applyFill="1" applyBorder="1" applyAlignment="1">
      <alignment horizontal="center"/>
    </xf>
    <xf numFmtId="0" fontId="8" fillId="4" borderId="9" xfId="2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/>
    </xf>
    <xf numFmtId="0" fontId="8" fillId="2" borderId="13" xfId="2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left"/>
    </xf>
    <xf numFmtId="0" fontId="8" fillId="0" borderId="0" xfId="2" applyFont="1" applyFill="1" applyBorder="1" applyAlignment="1">
      <alignment horizontal="center"/>
    </xf>
    <xf numFmtId="0" fontId="3" fillId="0" borderId="0" xfId="2" applyFill="1" applyBorder="1"/>
    <xf numFmtId="0" fontId="8" fillId="0" borderId="14" xfId="2" applyFont="1" applyBorder="1"/>
    <xf numFmtId="0" fontId="5" fillId="0" borderId="15" xfId="2" applyFont="1" applyBorder="1"/>
    <xf numFmtId="0" fontId="5" fillId="0" borderId="16" xfId="2" applyFont="1" applyBorder="1" applyAlignment="1">
      <alignment horizontal="center"/>
    </xf>
    <xf numFmtId="0" fontId="5" fillId="0" borderId="17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8" fillId="0" borderId="19" xfId="2" applyFont="1" applyFill="1" applyBorder="1" applyAlignment="1">
      <alignment horizontal="center"/>
    </xf>
    <xf numFmtId="0" fontId="8" fillId="2" borderId="19" xfId="2" applyFont="1" applyFill="1" applyBorder="1" applyAlignment="1">
      <alignment horizontal="center"/>
    </xf>
    <xf numFmtId="3" fontId="5" fillId="0" borderId="0" xfId="2" applyNumberFormat="1" applyFont="1" applyFill="1" applyBorder="1" applyAlignment="1">
      <alignment horizontal="center"/>
    </xf>
    <xf numFmtId="3" fontId="5" fillId="0" borderId="0" xfId="2" applyNumberFormat="1" applyFont="1" applyFill="1" applyBorder="1"/>
    <xf numFmtId="0" fontId="3" fillId="0" borderId="0" xfId="2" applyNumberFormat="1" applyFill="1" applyBorder="1"/>
    <xf numFmtId="0" fontId="5" fillId="0" borderId="14" xfId="2" applyFont="1" applyBorder="1"/>
    <xf numFmtId="0" fontId="5" fillId="0" borderId="20" xfId="2" applyFont="1" applyBorder="1" applyAlignment="1">
      <alignment horizontal="left"/>
    </xf>
    <xf numFmtId="3" fontId="5" fillId="0" borderId="21" xfId="2" applyNumberFormat="1" applyFont="1" applyBorder="1" applyAlignment="1">
      <alignment horizontal="center"/>
    </xf>
    <xf numFmtId="3" fontId="5" fillId="0" borderId="22" xfId="2" applyNumberFormat="1" applyFont="1" applyFill="1" applyBorder="1" applyAlignment="1">
      <alignment horizontal="center"/>
    </xf>
    <xf numFmtId="3" fontId="5" fillId="0" borderId="23" xfId="2" applyNumberFormat="1" applyFont="1" applyFill="1" applyBorder="1" applyAlignment="1">
      <alignment horizontal="center"/>
    </xf>
    <xf numFmtId="3" fontId="5" fillId="0" borderId="20" xfId="2" applyNumberFormat="1" applyFont="1" applyFill="1" applyBorder="1" applyAlignment="1">
      <alignment horizontal="center"/>
    </xf>
    <xf numFmtId="3" fontId="5" fillId="0" borderId="24" xfId="2" applyNumberFormat="1" applyFont="1" applyFill="1" applyBorder="1" applyAlignment="1">
      <alignment horizontal="center"/>
    </xf>
    <xf numFmtId="3" fontId="5" fillId="2" borderId="24" xfId="2" applyNumberFormat="1" applyFont="1" applyFill="1" applyBorder="1" applyAlignment="1">
      <alignment horizontal="center"/>
    </xf>
    <xf numFmtId="3" fontId="5" fillId="5" borderId="20" xfId="2" applyNumberFormat="1" applyFont="1" applyFill="1" applyBorder="1" applyAlignment="1">
      <alignment horizontal="center"/>
    </xf>
    <xf numFmtId="0" fontId="5" fillId="0" borderId="25" xfId="2" applyFont="1" applyBorder="1" applyAlignment="1">
      <alignment horizontal="left"/>
    </xf>
    <xf numFmtId="3" fontId="5" fillId="0" borderId="26" xfId="2" applyNumberFormat="1" applyFont="1" applyBorder="1" applyAlignment="1">
      <alignment horizontal="center"/>
    </xf>
    <xf numFmtId="3" fontId="5" fillId="0" borderId="27" xfId="2" applyNumberFormat="1" applyFont="1" applyFill="1" applyBorder="1" applyAlignment="1">
      <alignment horizontal="center"/>
    </xf>
    <xf numFmtId="3" fontId="5" fillId="0" borderId="28" xfId="2" applyNumberFormat="1" applyFont="1" applyFill="1" applyBorder="1" applyAlignment="1">
      <alignment horizontal="center"/>
    </xf>
    <xf numFmtId="3" fontId="5" fillId="0" borderId="25" xfId="2" applyNumberFormat="1" applyFont="1" applyFill="1" applyBorder="1" applyAlignment="1">
      <alignment horizontal="center"/>
    </xf>
    <xf numFmtId="3" fontId="5" fillId="5" borderId="25" xfId="2" applyNumberFormat="1" applyFont="1" applyFill="1" applyBorder="1" applyAlignment="1">
      <alignment horizontal="center"/>
    </xf>
    <xf numFmtId="3" fontId="5" fillId="0" borderId="29" xfId="2" applyNumberFormat="1" applyFont="1" applyFill="1" applyBorder="1" applyAlignment="1">
      <alignment horizontal="center"/>
    </xf>
    <xf numFmtId="3" fontId="5" fillId="2" borderId="29" xfId="2" applyNumberFormat="1" applyFont="1" applyFill="1" applyBorder="1" applyAlignment="1">
      <alignment horizontal="center"/>
    </xf>
    <xf numFmtId="0" fontId="5" fillId="0" borderId="15" xfId="2" applyFont="1" applyBorder="1" applyAlignment="1">
      <alignment horizontal="left"/>
    </xf>
    <xf numFmtId="3" fontId="5" fillId="0" borderId="30" xfId="2" applyNumberFormat="1" applyFont="1" applyBorder="1" applyAlignment="1">
      <alignment horizontal="center"/>
    </xf>
    <xf numFmtId="3" fontId="5" fillId="0" borderId="31" xfId="2" applyNumberFormat="1" applyFont="1" applyFill="1" applyBorder="1" applyAlignment="1">
      <alignment horizontal="center"/>
    </xf>
    <xf numFmtId="3" fontId="5" fillId="0" borderId="32" xfId="2" applyNumberFormat="1" applyFont="1" applyFill="1" applyBorder="1" applyAlignment="1">
      <alignment horizontal="center"/>
    </xf>
    <xf numFmtId="3" fontId="5" fillId="0" borderId="15" xfId="2" applyNumberFormat="1" applyFont="1" applyFill="1" applyBorder="1" applyAlignment="1">
      <alignment horizontal="center"/>
    </xf>
    <xf numFmtId="3" fontId="8" fillId="0" borderId="19" xfId="2" applyNumberFormat="1" applyFont="1" applyFill="1" applyBorder="1" applyAlignment="1">
      <alignment horizontal="center"/>
    </xf>
    <xf numFmtId="3" fontId="8" fillId="2" borderId="19" xfId="2" applyNumberFormat="1" applyFont="1" applyFill="1" applyBorder="1" applyAlignment="1">
      <alignment horizontal="center"/>
    </xf>
    <xf numFmtId="0" fontId="5" fillId="0" borderId="30" xfId="2" applyFont="1" applyBorder="1" applyAlignment="1">
      <alignment horizontal="center"/>
    </xf>
    <xf numFmtId="0" fontId="5" fillId="0" borderId="31" xfId="2" applyFont="1" applyBorder="1" applyAlignment="1">
      <alignment horizontal="center"/>
    </xf>
    <xf numFmtId="0" fontId="5" fillId="0" borderId="32" xfId="2" applyFont="1" applyBorder="1" applyAlignment="1">
      <alignment horizontal="center"/>
    </xf>
    <xf numFmtId="0" fontId="5" fillId="0" borderId="19" xfId="2" applyFont="1" applyFill="1" applyBorder="1" applyAlignment="1">
      <alignment horizontal="center"/>
    </xf>
    <xf numFmtId="164" fontId="5" fillId="0" borderId="21" xfId="2" applyNumberFormat="1" applyFont="1" applyBorder="1" applyAlignment="1">
      <alignment horizontal="center"/>
    </xf>
    <xf numFmtId="164" fontId="5" fillId="0" borderId="22" xfId="2" applyNumberFormat="1" applyFont="1" applyBorder="1" applyAlignment="1">
      <alignment horizontal="center"/>
    </xf>
    <xf numFmtId="164" fontId="5" fillId="0" borderId="23" xfId="2" applyNumberFormat="1" applyFont="1" applyBorder="1" applyAlignment="1">
      <alignment horizontal="center"/>
    </xf>
    <xf numFmtId="9" fontId="8" fillId="0" borderId="23" xfId="2" applyNumberFormat="1" applyFont="1" applyBorder="1" applyAlignment="1">
      <alignment horizontal="center"/>
    </xf>
    <xf numFmtId="9" fontId="8" fillId="0" borderId="23" xfId="2" applyNumberFormat="1" applyFont="1" applyFill="1" applyBorder="1" applyAlignment="1">
      <alignment horizontal="center"/>
    </xf>
    <xf numFmtId="9" fontId="8" fillId="2" borderId="23" xfId="2" applyNumberFormat="1" applyFont="1" applyFill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2" borderId="24" xfId="2" applyFont="1" applyFill="1" applyBorder="1" applyAlignment="1">
      <alignment horizontal="center"/>
    </xf>
    <xf numFmtId="0" fontId="5" fillId="0" borderId="20" xfId="2" applyFont="1" applyBorder="1"/>
    <xf numFmtId="0" fontId="5" fillId="0" borderId="33" xfId="2" applyFont="1" applyBorder="1" applyAlignment="1">
      <alignment horizontal="center"/>
    </xf>
    <xf numFmtId="0" fontId="5" fillId="0" borderId="34" xfId="2" applyFont="1" applyBorder="1" applyAlignment="1">
      <alignment horizontal="center"/>
    </xf>
    <xf numFmtId="0" fontId="5" fillId="0" borderId="35" xfId="2" applyFont="1" applyBorder="1" applyAlignment="1">
      <alignment horizontal="center"/>
    </xf>
    <xf numFmtId="0" fontId="5" fillId="0" borderId="22" xfId="2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2" fontId="5" fillId="0" borderId="22" xfId="2" applyNumberFormat="1" applyFont="1" applyBorder="1" applyAlignment="1">
      <alignment horizontal="center"/>
    </xf>
    <xf numFmtId="2" fontId="5" fillId="0" borderId="23" xfId="2" applyNumberFormat="1" applyFont="1" applyBorder="1" applyAlignment="1">
      <alignment horizontal="center"/>
    </xf>
    <xf numFmtId="2" fontId="5" fillId="0" borderId="20" xfId="2" applyNumberFormat="1" applyFont="1" applyBorder="1" applyAlignment="1">
      <alignment horizontal="center"/>
    </xf>
    <xf numFmtId="2" fontId="5" fillId="0" borderId="24" xfId="2" applyNumberFormat="1" applyFont="1" applyFill="1" applyBorder="1" applyAlignment="1">
      <alignment horizontal="center"/>
    </xf>
    <xf numFmtId="2" fontId="5" fillId="2" borderId="24" xfId="2" applyNumberFormat="1" applyFont="1" applyFill="1" applyBorder="1" applyAlignment="1">
      <alignment horizontal="center"/>
    </xf>
    <xf numFmtId="9" fontId="5" fillId="0" borderId="14" xfId="2" applyNumberFormat="1" applyFont="1" applyBorder="1"/>
    <xf numFmtId="9" fontId="5" fillId="0" borderId="20" xfId="2" applyNumberFormat="1" applyFont="1" applyBorder="1" applyAlignment="1">
      <alignment horizontal="left"/>
    </xf>
    <xf numFmtId="9" fontId="5" fillId="0" borderId="21" xfId="2" applyNumberFormat="1" applyFont="1" applyBorder="1" applyAlignment="1">
      <alignment horizontal="center"/>
    </xf>
    <xf numFmtId="9" fontId="5" fillId="0" borderId="22" xfId="2" applyNumberFormat="1" applyFont="1" applyBorder="1" applyAlignment="1">
      <alignment horizontal="center"/>
    </xf>
    <xf numFmtId="9" fontId="5" fillId="0" borderId="23" xfId="2" applyNumberFormat="1" applyFont="1" applyBorder="1" applyAlignment="1">
      <alignment horizontal="center"/>
    </xf>
    <xf numFmtId="9" fontId="5" fillId="0" borderId="20" xfId="2" applyNumberFormat="1" applyFont="1" applyBorder="1" applyAlignment="1">
      <alignment horizontal="center"/>
    </xf>
    <xf numFmtId="9" fontId="5" fillId="0" borderId="24" xfId="2" applyNumberFormat="1" applyFont="1" applyFill="1" applyBorder="1" applyAlignment="1">
      <alignment horizontal="center"/>
    </xf>
    <xf numFmtId="9" fontId="5" fillId="2" borderId="24" xfId="2" applyNumberFormat="1" applyFont="1" applyFill="1" applyBorder="1" applyAlignment="1">
      <alignment horizontal="center"/>
    </xf>
    <xf numFmtId="9" fontId="5" fillId="0" borderId="0" xfId="2" applyNumberFormat="1" applyFont="1"/>
    <xf numFmtId="9" fontId="5" fillId="0" borderId="0" xfId="2" applyNumberFormat="1" applyFont="1" applyFill="1" applyBorder="1"/>
    <xf numFmtId="9" fontId="5" fillId="0" borderId="23" xfId="2" applyNumberFormat="1" applyFont="1" applyFill="1" applyBorder="1" applyAlignment="1">
      <alignment horizontal="center"/>
    </xf>
    <xf numFmtId="9" fontId="5" fillId="2" borderId="23" xfId="2" applyNumberFormat="1" applyFont="1" applyFill="1" applyBorder="1" applyAlignment="1">
      <alignment horizontal="center"/>
    </xf>
    <xf numFmtId="9" fontId="5" fillId="0" borderId="36" xfId="2" applyNumberFormat="1" applyFont="1" applyBorder="1" applyAlignment="1">
      <alignment horizontal="left"/>
    </xf>
    <xf numFmtId="9" fontId="5" fillId="0" borderId="37" xfId="2" applyNumberFormat="1" applyFont="1" applyBorder="1" applyAlignment="1">
      <alignment horizontal="center"/>
    </xf>
    <xf numFmtId="9" fontId="5" fillId="0" borderId="38" xfId="2" applyNumberFormat="1" applyFont="1" applyBorder="1" applyAlignment="1">
      <alignment horizontal="center"/>
    </xf>
    <xf numFmtId="9" fontId="5" fillId="0" borderId="39" xfId="2" applyNumberFormat="1" applyFont="1" applyBorder="1" applyAlignment="1">
      <alignment horizontal="center"/>
    </xf>
    <xf numFmtId="9" fontId="5" fillId="0" borderId="36" xfId="2" applyNumberFormat="1" applyFont="1" applyBorder="1" applyAlignment="1">
      <alignment horizontal="center"/>
    </xf>
    <xf numFmtId="9" fontId="8" fillId="0" borderId="40" xfId="2" applyNumberFormat="1" applyFont="1" applyFill="1" applyBorder="1" applyAlignment="1">
      <alignment horizontal="center"/>
    </xf>
    <xf numFmtId="9" fontId="8" fillId="2" borderId="40" xfId="2" applyNumberFormat="1" applyFont="1" applyFill="1" applyBorder="1" applyAlignment="1">
      <alignment horizontal="center"/>
    </xf>
    <xf numFmtId="0" fontId="8" fillId="0" borderId="24" xfId="2" applyFont="1" applyFill="1" applyBorder="1" applyAlignment="1">
      <alignment horizontal="center"/>
    </xf>
    <xf numFmtId="0" fontId="8" fillId="2" borderId="24" xfId="2" applyFont="1" applyFill="1" applyBorder="1" applyAlignment="1">
      <alignment horizontal="center"/>
    </xf>
    <xf numFmtId="9" fontId="5" fillId="0" borderId="41" xfId="2" applyNumberFormat="1" applyFont="1" applyBorder="1" applyAlignment="1">
      <alignment horizontal="left"/>
    </xf>
    <xf numFmtId="9" fontId="5" fillId="0" borderId="42" xfId="2" applyNumberFormat="1" applyFont="1" applyBorder="1" applyAlignment="1">
      <alignment horizontal="center"/>
    </xf>
    <xf numFmtId="9" fontId="5" fillId="0" borderId="43" xfId="2" applyNumberFormat="1" applyFont="1" applyBorder="1" applyAlignment="1">
      <alignment horizontal="center"/>
    </xf>
    <xf numFmtId="9" fontId="5" fillId="0" borderId="44" xfId="2" applyNumberFormat="1" applyFont="1" applyBorder="1" applyAlignment="1">
      <alignment horizontal="center"/>
    </xf>
    <xf numFmtId="0" fontId="5" fillId="2" borderId="20" xfId="2" applyFont="1" applyFill="1" applyBorder="1" applyAlignment="1">
      <alignment horizontal="center"/>
    </xf>
    <xf numFmtId="0" fontId="5" fillId="0" borderId="35" xfId="2" applyFont="1" applyBorder="1"/>
    <xf numFmtId="0" fontId="5" fillId="0" borderId="45" xfId="2" applyFont="1" applyBorder="1" applyAlignment="1">
      <alignment horizontal="center"/>
    </xf>
    <xf numFmtId="0" fontId="5" fillId="0" borderId="46" xfId="2" applyFont="1" applyFill="1" applyBorder="1" applyAlignment="1">
      <alignment horizontal="center"/>
    </xf>
    <xf numFmtId="0" fontId="5" fillId="2" borderId="46" xfId="2" applyFont="1" applyFill="1" applyBorder="1" applyAlignment="1">
      <alignment horizontal="center"/>
    </xf>
    <xf numFmtId="164" fontId="8" fillId="0" borderId="23" xfId="2" applyNumberFormat="1" applyFont="1" applyBorder="1" applyAlignment="1">
      <alignment horizontal="center"/>
    </xf>
    <xf numFmtId="164" fontId="8" fillId="0" borderId="23" xfId="2" applyNumberFormat="1" applyFont="1" applyFill="1" applyBorder="1" applyAlignment="1">
      <alignment horizontal="center"/>
    </xf>
    <xf numFmtId="164" fontId="8" fillId="2" borderId="23" xfId="2" applyNumberFormat="1" applyFont="1" applyFill="1" applyBorder="1" applyAlignment="1">
      <alignment horizontal="center"/>
    </xf>
    <xf numFmtId="9" fontId="5" fillId="0" borderId="47" xfId="2" applyNumberFormat="1" applyFont="1" applyBorder="1" applyAlignment="1">
      <alignment horizontal="left"/>
    </xf>
    <xf numFmtId="9" fontId="5" fillId="0" borderId="48" xfId="2" applyNumberFormat="1" applyFont="1" applyBorder="1" applyAlignment="1">
      <alignment horizontal="center"/>
    </xf>
    <xf numFmtId="9" fontId="5" fillId="0" borderId="49" xfId="2" applyNumberFormat="1" applyFont="1" applyBorder="1" applyAlignment="1">
      <alignment horizontal="center"/>
    </xf>
    <xf numFmtId="164" fontId="5" fillId="0" borderId="49" xfId="2" applyNumberFormat="1" applyFont="1" applyBorder="1" applyAlignment="1">
      <alignment horizontal="center"/>
    </xf>
    <xf numFmtId="164" fontId="5" fillId="0" borderId="50" xfId="2" applyNumberFormat="1" applyFont="1" applyBorder="1" applyAlignment="1">
      <alignment horizontal="center"/>
    </xf>
    <xf numFmtId="164" fontId="8" fillId="0" borderId="50" xfId="2" applyNumberFormat="1" applyFont="1" applyBorder="1" applyAlignment="1">
      <alignment horizontal="center"/>
    </xf>
    <xf numFmtId="164" fontId="8" fillId="0" borderId="50" xfId="2" applyNumberFormat="1" applyFont="1" applyFill="1" applyBorder="1" applyAlignment="1">
      <alignment horizontal="center"/>
    </xf>
    <xf numFmtId="164" fontId="8" fillId="2" borderId="50" xfId="2" applyNumberFormat="1" applyFont="1" applyFill="1" applyBorder="1" applyAlignment="1">
      <alignment horizontal="center"/>
    </xf>
    <xf numFmtId="9" fontId="8" fillId="0" borderId="24" xfId="2" applyNumberFormat="1" applyFont="1" applyFill="1" applyBorder="1" applyAlignment="1">
      <alignment horizontal="center"/>
    </xf>
    <xf numFmtId="9" fontId="8" fillId="2" borderId="24" xfId="2" applyNumberFormat="1" applyFont="1" applyFill="1" applyBorder="1" applyAlignment="1">
      <alignment horizontal="center"/>
    </xf>
    <xf numFmtId="0" fontId="8" fillId="0" borderId="15" xfId="2" applyFont="1" applyFill="1" applyBorder="1" applyAlignment="1">
      <alignment horizontal="center"/>
    </xf>
    <xf numFmtId="0" fontId="8" fillId="2" borderId="15" xfId="2" applyFont="1" applyFill="1" applyBorder="1" applyAlignment="1">
      <alignment horizontal="center"/>
    </xf>
    <xf numFmtId="164" fontId="5" fillId="0" borderId="23" xfId="2" applyNumberFormat="1" applyFont="1" applyFill="1" applyBorder="1" applyAlignment="1">
      <alignment horizontal="center"/>
    </xf>
    <xf numFmtId="164" fontId="5" fillId="2" borderId="23" xfId="2" applyNumberFormat="1" applyFont="1" applyFill="1" applyBorder="1" applyAlignment="1">
      <alignment horizontal="center"/>
    </xf>
    <xf numFmtId="164" fontId="5" fillId="0" borderId="28" xfId="2" applyNumberFormat="1" applyFont="1" applyBorder="1" applyAlignment="1">
      <alignment horizontal="center"/>
    </xf>
    <xf numFmtId="164" fontId="5" fillId="0" borderId="28" xfId="2" applyNumberFormat="1" applyFont="1" applyFill="1" applyBorder="1" applyAlignment="1">
      <alignment horizontal="center"/>
    </xf>
    <xf numFmtId="164" fontId="5" fillId="2" borderId="28" xfId="2" applyNumberFormat="1" applyFont="1" applyFill="1" applyBorder="1" applyAlignment="1">
      <alignment horizontal="center"/>
    </xf>
    <xf numFmtId="165" fontId="5" fillId="0" borderId="23" xfId="2" applyNumberFormat="1" applyFont="1" applyBorder="1" applyAlignment="1">
      <alignment horizontal="center"/>
    </xf>
    <xf numFmtId="165" fontId="5" fillId="0" borderId="20" xfId="2" applyNumberFormat="1" applyFont="1" applyBorder="1" applyAlignment="1">
      <alignment horizontal="center"/>
    </xf>
    <xf numFmtId="165" fontId="8" fillId="0" borderId="24" xfId="2" applyNumberFormat="1" applyFont="1" applyFill="1" applyBorder="1" applyAlignment="1">
      <alignment horizontal="center"/>
    </xf>
    <xf numFmtId="165" fontId="8" fillId="2" borderId="24" xfId="2" applyNumberFormat="1" applyFont="1" applyFill="1" applyBorder="1" applyAlignment="1">
      <alignment horizontal="center"/>
    </xf>
    <xf numFmtId="9" fontId="8" fillId="0" borderId="14" xfId="2" applyNumberFormat="1" applyFont="1" applyBorder="1"/>
    <xf numFmtId="9" fontId="8" fillId="0" borderId="20" xfId="2" applyNumberFormat="1" applyFont="1" applyBorder="1" applyAlignment="1">
      <alignment horizontal="left"/>
    </xf>
    <xf numFmtId="9" fontId="8" fillId="0" borderId="21" xfId="2" applyNumberFormat="1" applyFont="1" applyBorder="1" applyAlignment="1">
      <alignment horizontal="center"/>
    </xf>
    <xf numFmtId="9" fontId="8" fillId="0" borderId="22" xfId="2" applyNumberFormat="1" applyFont="1" applyBorder="1" applyAlignment="1">
      <alignment horizontal="center"/>
    </xf>
    <xf numFmtId="0" fontId="8" fillId="0" borderId="22" xfId="2" applyFont="1" applyBorder="1" applyAlignment="1">
      <alignment horizontal="center"/>
    </xf>
    <xf numFmtId="0" fontId="8" fillId="0" borderId="23" xfId="2" applyFont="1" applyBorder="1" applyAlignment="1">
      <alignment horizontal="center"/>
    </xf>
    <xf numFmtId="165" fontId="8" fillId="0" borderId="23" xfId="2" applyNumberFormat="1" applyFont="1" applyBorder="1" applyAlignment="1">
      <alignment horizontal="center"/>
    </xf>
    <xf numFmtId="165" fontId="8" fillId="0" borderId="20" xfId="2" applyNumberFormat="1" applyFont="1" applyBorder="1" applyAlignment="1">
      <alignment horizontal="center"/>
    </xf>
    <xf numFmtId="165" fontId="8" fillId="0" borderId="20" xfId="2" applyNumberFormat="1" applyFont="1" applyFill="1" applyBorder="1" applyAlignment="1">
      <alignment horizontal="center"/>
    </xf>
    <xf numFmtId="165" fontId="8" fillId="2" borderId="20" xfId="2" applyNumberFormat="1" applyFont="1" applyFill="1" applyBorder="1" applyAlignment="1">
      <alignment horizontal="center"/>
    </xf>
    <xf numFmtId="9" fontId="8" fillId="0" borderId="0" xfId="2" applyNumberFormat="1" applyFont="1"/>
    <xf numFmtId="164" fontId="8" fillId="2" borderId="24" xfId="2" applyNumberFormat="1" applyFont="1" applyFill="1" applyBorder="1" applyAlignment="1">
      <alignment horizontal="center"/>
    </xf>
    <xf numFmtId="5" fontId="5" fillId="0" borderId="20" xfId="2" applyNumberFormat="1" applyFont="1" applyFill="1" applyBorder="1" applyAlignment="1">
      <alignment horizontal="center"/>
    </xf>
    <xf numFmtId="5" fontId="5" fillId="2" borderId="20" xfId="2" applyNumberFormat="1" applyFont="1" applyFill="1" applyBorder="1" applyAlignment="1">
      <alignment horizontal="center"/>
    </xf>
    <xf numFmtId="165" fontId="5" fillId="0" borderId="20" xfId="2" applyNumberFormat="1" applyFont="1" applyFill="1" applyBorder="1" applyAlignment="1">
      <alignment horizontal="center"/>
    </xf>
    <xf numFmtId="5" fontId="8" fillId="0" borderId="20" xfId="2" applyNumberFormat="1" applyFont="1" applyFill="1" applyBorder="1" applyAlignment="1">
      <alignment horizontal="center"/>
    </xf>
    <xf numFmtId="5" fontId="8" fillId="2" borderId="20" xfId="2" applyNumberFormat="1" applyFont="1" applyFill="1" applyBorder="1" applyAlignment="1">
      <alignment horizontal="center"/>
    </xf>
    <xf numFmtId="0" fontId="5" fillId="0" borderId="25" xfId="2" applyFont="1" applyBorder="1"/>
    <xf numFmtId="0" fontId="5" fillId="0" borderId="26" xfId="2" applyFont="1" applyBorder="1" applyAlignment="1">
      <alignment horizontal="center"/>
    </xf>
    <xf numFmtId="0" fontId="5" fillId="0" borderId="27" xfId="2" applyFont="1" applyBorder="1" applyAlignment="1">
      <alignment horizontal="center"/>
    </xf>
    <xf numFmtId="0" fontId="5" fillId="0" borderId="28" xfId="2" applyFont="1" applyBorder="1" applyAlignment="1">
      <alignment horizontal="center"/>
    </xf>
    <xf numFmtId="0" fontId="5" fillId="0" borderId="25" xfId="2" applyFont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5" fillId="2" borderId="25" xfId="2" applyFont="1" applyFill="1" applyBorder="1" applyAlignment="1">
      <alignment horizontal="center"/>
    </xf>
    <xf numFmtId="0" fontId="5" fillId="0" borderId="8" xfId="2" applyFont="1" applyBorder="1"/>
    <xf numFmtId="0" fontId="5" fillId="0" borderId="54" xfId="2" applyFont="1" applyBorder="1"/>
    <xf numFmtId="0" fontId="5" fillId="0" borderId="55" xfId="2" applyFont="1" applyBorder="1" applyAlignment="1">
      <alignment horizontal="center"/>
    </xf>
    <xf numFmtId="0" fontId="5" fillId="0" borderId="56" xfId="2" applyFont="1" applyBorder="1" applyAlignment="1">
      <alignment horizontal="center"/>
    </xf>
    <xf numFmtId="0" fontId="5" fillId="0" borderId="57" xfId="2" applyFont="1" applyBorder="1" applyAlignment="1">
      <alignment horizontal="center"/>
    </xf>
    <xf numFmtId="0" fontId="5" fillId="0" borderId="54" xfId="2" applyFont="1" applyBorder="1" applyAlignment="1">
      <alignment horizontal="center"/>
    </xf>
    <xf numFmtId="0" fontId="5" fillId="0" borderId="0" xfId="2" applyFont="1" applyBorder="1"/>
    <xf numFmtId="0" fontId="5" fillId="0" borderId="0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4" fillId="0" borderId="0" xfId="2" applyFont="1" applyAlignment="1">
      <alignment horizontal="centerContinuous"/>
    </xf>
    <xf numFmtId="164" fontId="4" fillId="0" borderId="0" xfId="2" applyNumberFormat="1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11" fillId="0" borderId="0" xfId="2" applyFont="1" applyAlignment="1">
      <alignment horizontal="center"/>
    </xf>
    <xf numFmtId="0" fontId="11" fillId="0" borderId="0" xfId="2" applyFont="1" applyFill="1"/>
    <xf numFmtId="0" fontId="11" fillId="0" borderId="0" xfId="2" applyFont="1"/>
    <xf numFmtId="164" fontId="5" fillId="0" borderId="0" xfId="2" applyNumberFormat="1" applyFont="1" applyAlignment="1">
      <alignment horizontal="center"/>
    </xf>
    <xf numFmtId="0" fontId="6" fillId="2" borderId="3" xfId="2" applyFont="1" applyFill="1" applyBorder="1"/>
    <xf numFmtId="0" fontId="5" fillId="2" borderId="4" xfId="2" applyFont="1" applyFill="1" applyBorder="1" applyAlignment="1">
      <alignment horizontal="center"/>
    </xf>
    <xf numFmtId="164" fontId="5" fillId="2" borderId="59" xfId="2" applyNumberFormat="1" applyFont="1" applyFill="1" applyBorder="1" applyAlignment="1">
      <alignment horizontal="center"/>
    </xf>
    <xf numFmtId="164" fontId="5" fillId="2" borderId="4" xfId="2" applyNumberFormat="1" applyFont="1" applyFill="1" applyBorder="1" applyAlignment="1">
      <alignment horizontal="center"/>
    </xf>
    <xf numFmtId="0" fontId="5" fillId="2" borderId="59" xfId="2" applyFont="1" applyFill="1" applyBorder="1" applyAlignment="1">
      <alignment horizontal="center"/>
    </xf>
    <xf numFmtId="0" fontId="5" fillId="0" borderId="37" xfId="2" applyFont="1" applyBorder="1"/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60" xfId="2" applyFont="1" applyBorder="1" applyAlignment="1">
      <alignment horizontal="center"/>
    </xf>
    <xf numFmtId="164" fontId="5" fillId="0" borderId="36" xfId="2" applyNumberFormat="1" applyFont="1" applyBorder="1" applyAlignment="1">
      <alignment horizontal="center"/>
    </xf>
    <xf numFmtId="0" fontId="8" fillId="0" borderId="30" xfId="2" applyFont="1" applyFill="1" applyBorder="1"/>
    <xf numFmtId="0" fontId="5" fillId="0" borderId="61" xfId="2" applyFont="1" applyFill="1" applyBorder="1" applyAlignment="1">
      <alignment horizontal="center"/>
    </xf>
    <xf numFmtId="0" fontId="5" fillId="0" borderId="62" xfId="2" applyFont="1" applyFill="1" applyBorder="1" applyAlignment="1">
      <alignment horizontal="center"/>
    </xf>
    <xf numFmtId="164" fontId="8" fillId="0" borderId="15" xfId="2" applyNumberFormat="1" applyFont="1" applyFill="1" applyBorder="1" applyAlignment="1">
      <alignment horizontal="center"/>
    </xf>
    <xf numFmtId="0" fontId="5" fillId="0" borderId="0" xfId="2" applyFont="1" applyFill="1"/>
    <xf numFmtId="164" fontId="5" fillId="0" borderId="0" xfId="2" applyNumberFormat="1" applyFont="1" applyFill="1"/>
    <xf numFmtId="0" fontId="8" fillId="0" borderId="42" xfId="2" applyFont="1" applyFill="1" applyBorder="1"/>
    <xf numFmtId="0" fontId="5" fillId="0" borderId="63" xfId="2" applyFont="1" applyFill="1" applyBorder="1" applyAlignment="1">
      <alignment horizontal="center"/>
    </xf>
    <xf numFmtId="0" fontId="5" fillId="0" borderId="64" xfId="2" applyFont="1" applyFill="1" applyBorder="1" applyAlignment="1">
      <alignment horizontal="center"/>
    </xf>
    <xf numFmtId="0" fontId="5" fillId="0" borderId="65" xfId="2" applyFont="1" applyFill="1" applyBorder="1" applyAlignment="1">
      <alignment horizontal="center"/>
    </xf>
    <xf numFmtId="164" fontId="8" fillId="0" borderId="66" xfId="2" applyNumberFormat="1" applyFont="1" applyFill="1" applyBorder="1" applyAlignment="1">
      <alignment horizontal="center"/>
    </xf>
    <xf numFmtId="0" fontId="5" fillId="0" borderId="30" xfId="2" applyFont="1" applyFill="1" applyBorder="1"/>
    <xf numFmtId="164" fontId="5" fillId="0" borderId="15" xfId="2" applyNumberFormat="1" applyFont="1" applyBorder="1" applyAlignment="1">
      <alignment horizontal="center"/>
    </xf>
    <xf numFmtId="0" fontId="12" fillId="0" borderId="30" xfId="2" applyFont="1" applyFill="1" applyBorder="1"/>
    <xf numFmtId="0" fontId="8" fillId="0" borderId="62" xfId="2" applyFont="1" applyFill="1" applyBorder="1" applyAlignment="1">
      <alignment horizontal="center"/>
    </xf>
    <xf numFmtId="1" fontId="8" fillId="0" borderId="0" xfId="2" applyNumberFormat="1" applyFont="1" applyFill="1" applyBorder="1" applyAlignment="1">
      <alignment horizontal="center"/>
    </xf>
    <xf numFmtId="1" fontId="8" fillId="0" borderId="61" xfId="2" applyNumberFormat="1" applyFont="1" applyFill="1" applyBorder="1" applyAlignment="1">
      <alignment horizontal="center"/>
    </xf>
    <xf numFmtId="1" fontId="8" fillId="0" borderId="62" xfId="2" applyNumberFormat="1" applyFont="1" applyFill="1" applyBorder="1" applyAlignment="1">
      <alignment horizontal="center"/>
    </xf>
    <xf numFmtId="0" fontId="5" fillId="0" borderId="67" xfId="2" applyFont="1" applyFill="1" applyBorder="1"/>
    <xf numFmtId="0" fontId="5" fillId="0" borderId="68" xfId="2" applyFont="1" applyFill="1" applyBorder="1" applyAlignment="1">
      <alignment horizontal="center"/>
    </xf>
    <xf numFmtId="0" fontId="5" fillId="0" borderId="69" xfId="2" applyFont="1" applyFill="1" applyBorder="1" applyAlignment="1">
      <alignment horizontal="center"/>
    </xf>
    <xf numFmtId="0" fontId="5" fillId="0" borderId="70" xfId="2" applyFont="1" applyFill="1" applyBorder="1" applyAlignment="1">
      <alignment horizontal="center"/>
    </xf>
    <xf numFmtId="164" fontId="5" fillId="0" borderId="9" xfId="2" applyNumberFormat="1" applyFont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0" fontId="8" fillId="3" borderId="1" xfId="2" applyFont="1" applyFill="1" applyBorder="1" applyAlignment="1">
      <alignment horizontal="left"/>
    </xf>
    <xf numFmtId="0" fontId="5" fillId="3" borderId="71" xfId="2" applyFont="1" applyFill="1" applyBorder="1"/>
    <xf numFmtId="0" fontId="5" fillId="3" borderId="71" xfId="2" applyFont="1" applyFill="1" applyBorder="1" applyAlignment="1">
      <alignment horizontal="center"/>
    </xf>
    <xf numFmtId="0" fontId="5" fillId="3" borderId="72" xfId="2" applyFont="1" applyFill="1" applyBorder="1" applyAlignment="1">
      <alignment horizontal="center"/>
    </xf>
    <xf numFmtId="0" fontId="8" fillId="3" borderId="71" xfId="2" applyFont="1" applyFill="1" applyBorder="1"/>
    <xf numFmtId="0" fontId="5" fillId="3" borderId="2" xfId="2" applyFont="1" applyFill="1" applyBorder="1" applyAlignment="1">
      <alignment horizontal="center"/>
    </xf>
    <xf numFmtId="0" fontId="8" fillId="0" borderId="73" xfId="2" applyFont="1" applyFill="1" applyBorder="1" applyAlignment="1">
      <alignment horizontal="left"/>
    </xf>
    <xf numFmtId="0" fontId="8" fillId="0" borderId="63" xfId="2" applyFont="1" applyBorder="1" applyAlignment="1">
      <alignment horizontal="center"/>
    </xf>
    <xf numFmtId="0" fontId="8" fillId="0" borderId="64" xfId="2" applyFont="1" applyBorder="1" applyAlignment="1">
      <alignment horizontal="center"/>
    </xf>
    <xf numFmtId="0" fontId="8" fillId="2" borderId="64" xfId="2" applyFont="1" applyFill="1" applyBorder="1" applyAlignment="1">
      <alignment horizontal="center"/>
    </xf>
    <xf numFmtId="0" fontId="8" fillId="0" borderId="63" xfId="2" applyFont="1" applyFill="1" applyBorder="1" applyAlignment="1">
      <alignment horizontal="right"/>
    </xf>
    <xf numFmtId="0" fontId="5" fillId="0" borderId="63" xfId="2" applyFont="1" applyFill="1" applyBorder="1"/>
    <xf numFmtId="0" fontId="8" fillId="0" borderId="63" xfId="2" applyFont="1" applyFill="1" applyBorder="1" applyAlignment="1">
      <alignment horizontal="center"/>
    </xf>
    <xf numFmtId="0" fontId="8" fillId="0" borderId="64" xfId="2" applyFont="1" applyFill="1" applyBorder="1" applyAlignment="1">
      <alignment horizontal="center"/>
    </xf>
    <xf numFmtId="0" fontId="8" fillId="2" borderId="41" xfId="2" applyFont="1" applyFill="1" applyBorder="1" applyAlignment="1">
      <alignment horizontal="center"/>
    </xf>
    <xf numFmtId="0" fontId="8" fillId="0" borderId="74" xfId="2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center"/>
    </xf>
    <xf numFmtId="1" fontId="5" fillId="0" borderId="61" xfId="2" applyNumberFormat="1" applyFont="1" applyFill="1" applyBorder="1" applyAlignment="1">
      <alignment horizontal="center"/>
    </xf>
    <xf numFmtId="1" fontId="8" fillId="2" borderId="61" xfId="2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right"/>
    </xf>
    <xf numFmtId="0" fontId="13" fillId="6" borderId="75" xfId="2" applyFont="1" applyFill="1" applyBorder="1"/>
    <xf numFmtId="0" fontId="5" fillId="7" borderId="0" xfId="2" applyFont="1" applyFill="1"/>
    <xf numFmtId="0" fontId="8" fillId="0" borderId="8" xfId="2" applyFont="1" applyFill="1" applyBorder="1" applyAlignment="1">
      <alignment horizontal="right"/>
    </xf>
    <xf numFmtId="0" fontId="5" fillId="0" borderId="68" xfId="2" applyFont="1" applyBorder="1" applyAlignment="1">
      <alignment horizontal="center"/>
    </xf>
    <xf numFmtId="0" fontId="8" fillId="2" borderId="69" xfId="2" applyFont="1" applyFill="1" applyBorder="1" applyAlignment="1">
      <alignment horizontal="center"/>
    </xf>
    <xf numFmtId="0" fontId="8" fillId="0" borderId="68" xfId="2" applyFont="1" applyFill="1" applyBorder="1" applyAlignment="1">
      <alignment horizontal="right"/>
    </xf>
    <xf numFmtId="0" fontId="13" fillId="0" borderId="0" xfId="2" applyFont="1"/>
    <xf numFmtId="0" fontId="5" fillId="0" borderId="0" xfId="2" applyNumberFormat="1" applyFont="1"/>
    <xf numFmtId="164" fontId="5" fillId="7" borderId="0" xfId="3" applyNumberFormat="1" applyFont="1" applyFill="1"/>
    <xf numFmtId="164" fontId="5" fillId="0" borderId="0" xfId="2" applyNumberFormat="1" applyFont="1"/>
    <xf numFmtId="0" fontId="8" fillId="3" borderId="1" xfId="2" applyFont="1" applyFill="1" applyBorder="1"/>
    <xf numFmtId="0" fontId="8" fillId="3" borderId="71" xfId="2" applyFont="1" applyFill="1" applyBorder="1" applyAlignment="1">
      <alignment horizontal="center"/>
    </xf>
    <xf numFmtId="0" fontId="8" fillId="3" borderId="71" xfId="2" applyFont="1" applyFill="1" applyBorder="1" applyAlignment="1">
      <alignment horizontal="right"/>
    </xf>
    <xf numFmtId="0" fontId="8" fillId="8" borderId="71" xfId="2" applyFont="1" applyFill="1" applyBorder="1" applyAlignment="1">
      <alignment horizontal="center"/>
    </xf>
    <xf numFmtId="164" fontId="5" fillId="7" borderId="0" xfId="2" applyNumberFormat="1" applyFont="1" applyFill="1"/>
    <xf numFmtId="0" fontId="5" fillId="0" borderId="14" xfId="2" applyFont="1" applyFill="1" applyBorder="1" applyAlignment="1">
      <alignment horizontal="center"/>
    </xf>
    <xf numFmtId="9" fontId="8" fillId="0" borderId="61" xfId="2" applyNumberFormat="1" applyFont="1" applyFill="1" applyBorder="1" applyAlignment="1">
      <alignment horizontal="left"/>
    </xf>
    <xf numFmtId="9" fontId="8" fillId="0" borderId="15" xfId="2" applyNumberFormat="1" applyFont="1" applyFill="1" applyBorder="1" applyAlignment="1">
      <alignment horizontal="left"/>
    </xf>
    <xf numFmtId="164" fontId="8" fillId="0" borderId="14" xfId="2" applyNumberFormat="1" applyFont="1" applyBorder="1"/>
    <xf numFmtId="0" fontId="8" fillId="0" borderId="0" xfId="2" applyFont="1" applyBorder="1" applyAlignment="1">
      <alignment horizontal="left"/>
    </xf>
    <xf numFmtId="9" fontId="8" fillId="0" borderId="61" xfId="2" applyNumberFormat="1" applyFont="1" applyBorder="1" applyAlignment="1">
      <alignment horizontal="center"/>
    </xf>
    <xf numFmtId="164" fontId="8" fillId="0" borderId="0" xfId="2" applyNumberFormat="1" applyFont="1" applyBorder="1"/>
    <xf numFmtId="0" fontId="5" fillId="0" borderId="0" xfId="2" applyFont="1" applyBorder="1" applyAlignment="1">
      <alignment horizontal="right"/>
    </xf>
    <xf numFmtId="9" fontId="8" fillId="0" borderId="15" xfId="2" applyNumberFormat="1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5" fillId="0" borderId="8" xfId="2" applyFont="1" applyFill="1" applyBorder="1" applyAlignment="1">
      <alignment horizontal="center"/>
    </xf>
    <xf numFmtId="9" fontId="8" fillId="0" borderId="69" xfId="2" applyNumberFormat="1" applyFont="1" applyFill="1" applyBorder="1" applyAlignment="1">
      <alignment horizontal="left"/>
    </xf>
    <xf numFmtId="164" fontId="5" fillId="0" borderId="68" xfId="2" applyNumberFormat="1" applyFont="1" applyFill="1" applyBorder="1" applyAlignment="1">
      <alignment horizontal="center"/>
    </xf>
    <xf numFmtId="9" fontId="8" fillId="0" borderId="9" xfId="2" applyNumberFormat="1" applyFont="1" applyFill="1" applyBorder="1" applyAlignment="1">
      <alignment horizontal="left"/>
    </xf>
    <xf numFmtId="0" fontId="13" fillId="0" borderId="75" xfId="2" applyFont="1" applyBorder="1"/>
    <xf numFmtId="9" fontId="8" fillId="0" borderId="0" xfId="2" applyNumberFormat="1" applyFont="1" applyFill="1" applyBorder="1" applyAlignment="1">
      <alignment horizontal="left"/>
    </xf>
    <xf numFmtId="0" fontId="15" fillId="0" borderId="0" xfId="2" applyFont="1" applyBorder="1" applyAlignment="1">
      <alignment horizontal="right"/>
    </xf>
    <xf numFmtId="0" fontId="13" fillId="0" borderId="76" xfId="2" applyFont="1" applyBorder="1"/>
    <xf numFmtId="0" fontId="13" fillId="0" borderId="76" xfId="2" applyNumberFormat="1" applyFont="1" applyBorder="1"/>
    <xf numFmtId="0" fontId="8" fillId="2" borderId="77" xfId="2" applyFont="1" applyFill="1" applyBorder="1" applyAlignment="1">
      <alignment horizontal="left"/>
    </xf>
    <xf numFmtId="0" fontId="5" fillId="2" borderId="78" xfId="2" applyFont="1" applyFill="1" applyBorder="1" applyAlignment="1">
      <alignment horizontal="left"/>
    </xf>
    <xf numFmtId="2" fontId="8" fillId="2" borderId="79" xfId="2" applyNumberFormat="1" applyFont="1" applyFill="1" applyBorder="1" applyAlignment="1">
      <alignment horizontal="center"/>
    </xf>
    <xf numFmtId="2" fontId="8" fillId="2" borderId="78" xfId="2" applyNumberFormat="1" applyFont="1" applyFill="1" applyBorder="1"/>
    <xf numFmtId="2" fontId="15" fillId="2" borderId="78" xfId="2" applyNumberFormat="1" applyFont="1" applyFill="1" applyBorder="1" applyAlignment="1">
      <alignment horizontal="center"/>
    </xf>
    <xf numFmtId="2" fontId="8" fillId="2" borderId="80" xfId="2" applyNumberFormat="1" applyFont="1" applyFill="1" applyBorder="1" applyAlignment="1">
      <alignment horizontal="center"/>
    </xf>
    <xf numFmtId="164" fontId="7" fillId="0" borderId="0" xfId="2" applyNumberFormat="1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8" fillId="0" borderId="0" xfId="2" applyFont="1"/>
    <xf numFmtId="0" fontId="19" fillId="0" borderId="0" xfId="2" applyFont="1"/>
    <xf numFmtId="9" fontId="8" fillId="0" borderId="0" xfId="2" applyNumberFormat="1" applyFont="1" applyAlignment="1">
      <alignment horizontal="center"/>
    </xf>
    <xf numFmtId="0" fontId="20" fillId="0" borderId="0" xfId="2" applyFont="1" applyFill="1" applyAlignment="1">
      <alignment horizontal="center"/>
    </xf>
    <xf numFmtId="9" fontId="8" fillId="0" borderId="0" xfId="2" applyNumberFormat="1" applyFont="1" applyFill="1" applyAlignment="1">
      <alignment horizontal="center"/>
    </xf>
    <xf numFmtId="0" fontId="2" fillId="0" borderId="0" xfId="2" applyFont="1"/>
    <xf numFmtId="0" fontId="13" fillId="6" borderId="81" xfId="2" applyFont="1" applyFill="1" applyBorder="1"/>
    <xf numFmtId="0" fontId="13" fillId="6" borderId="81" xfId="2" applyNumberFormat="1" applyFont="1" applyFill="1" applyBorder="1"/>
    <xf numFmtId="0" fontId="18" fillId="0" borderId="0" xfId="2" applyFont="1" applyFill="1"/>
    <xf numFmtId="2" fontId="21" fillId="0" borderId="0" xfId="2" applyNumberFormat="1" applyFont="1" applyFill="1" applyBorder="1" applyAlignment="1">
      <alignment horizontal="center"/>
    </xf>
    <xf numFmtId="2" fontId="16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 applyFill="1" applyAlignment="1">
      <alignment horizontal="center"/>
    </xf>
    <xf numFmtId="9" fontId="18" fillId="0" borderId="0" xfId="2" applyNumberFormat="1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17" fillId="0" borderId="0" xfId="2" applyFont="1" applyFill="1" applyAlignment="1">
      <alignment horizontal="right"/>
    </xf>
    <xf numFmtId="0" fontId="18" fillId="0" borderId="0" xfId="2" applyFont="1" applyFill="1" applyAlignment="1">
      <alignment horizontal="left"/>
    </xf>
    <xf numFmtId="164" fontId="7" fillId="0" borderId="0" xfId="2" applyNumberFormat="1" applyFont="1" applyFill="1" applyAlignment="1">
      <alignment horizontal="center"/>
    </xf>
    <xf numFmtId="0" fontId="17" fillId="0" borderId="0" xfId="2" applyFont="1" applyFill="1" applyAlignment="1">
      <alignment horizontal="left"/>
    </xf>
    <xf numFmtId="0" fontId="23" fillId="0" borderId="0" xfId="2" applyFont="1" applyFill="1"/>
    <xf numFmtId="0" fontId="7" fillId="0" borderId="0" xfId="2" applyFont="1" applyFill="1"/>
    <xf numFmtId="0" fontId="15" fillId="0" borderId="0" xfId="2" applyFont="1" applyFill="1" applyAlignment="1">
      <alignment horizontal="left"/>
    </xf>
    <xf numFmtId="164" fontId="5" fillId="0" borderId="0" xfId="2" applyNumberFormat="1" applyFont="1" applyFill="1" applyAlignment="1">
      <alignment horizontal="center"/>
    </xf>
    <xf numFmtId="1" fontId="5" fillId="0" borderId="0" xfId="2" applyNumberFormat="1" applyFont="1"/>
    <xf numFmtId="2" fontId="5" fillId="0" borderId="0" xfId="2" applyNumberFormat="1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Continuous"/>
    </xf>
    <xf numFmtId="164" fontId="6" fillId="0" borderId="0" xfId="2" applyNumberFormat="1" applyFont="1" applyAlignment="1">
      <alignment horizontal="centerContinuous"/>
    </xf>
    <xf numFmtId="0" fontId="7" fillId="0" borderId="0" xfId="2" applyFont="1" applyFill="1" applyAlignment="1">
      <alignment horizontal="right"/>
    </xf>
    <xf numFmtId="0" fontId="5" fillId="0" borderId="0" xfId="2" applyFont="1" applyFill="1" applyAlignment="1">
      <alignment horizontal="right"/>
    </xf>
    <xf numFmtId="2" fontId="17" fillId="0" borderId="0" xfId="2" applyNumberFormat="1" applyFont="1" applyFill="1" applyAlignment="1">
      <alignment horizontal="left"/>
    </xf>
    <xf numFmtId="0" fontId="24" fillId="3" borderId="0" xfId="2" applyFont="1" applyFill="1"/>
    <xf numFmtId="0" fontId="11" fillId="3" borderId="0" xfId="2" applyFont="1" applyFill="1" applyAlignment="1">
      <alignment horizontal="center"/>
    </xf>
    <xf numFmtId="0" fontId="25" fillId="3" borderId="0" xfId="2" applyFont="1" applyFill="1" applyAlignment="1">
      <alignment horizontal="right"/>
    </xf>
    <xf numFmtId="0" fontId="26" fillId="3" borderId="0" xfId="2" applyFont="1" applyFill="1" applyAlignment="1">
      <alignment horizontal="left"/>
    </xf>
    <xf numFmtId="0" fontId="11" fillId="3" borderId="0" xfId="2" applyFont="1" applyFill="1"/>
    <xf numFmtId="0" fontId="11" fillId="0" borderId="0" xfId="2" applyFont="1" applyFill="1" applyAlignment="1">
      <alignment horizontal="center"/>
    </xf>
    <xf numFmtId="0" fontId="27" fillId="0" borderId="0" xfId="2" applyFont="1" applyAlignment="1">
      <alignment horizontal="left"/>
    </xf>
    <xf numFmtId="0" fontId="7" fillId="0" borderId="0" xfId="2" applyFont="1" applyAlignment="1">
      <alignment horizontal="right"/>
    </xf>
    <xf numFmtId="167" fontId="28" fillId="0" borderId="0" xfId="2" applyNumberFormat="1" applyFont="1" applyFill="1" applyBorder="1" applyAlignment="1">
      <alignment horizontal="center"/>
    </xf>
    <xf numFmtId="167" fontId="28" fillId="0" borderId="0" xfId="2" applyNumberFormat="1" applyFont="1" applyFill="1" applyBorder="1" applyAlignment="1">
      <alignment horizontal="left"/>
    </xf>
    <xf numFmtId="0" fontId="8" fillId="0" borderId="0" xfId="2" applyFont="1" applyAlignment="1">
      <alignment horizontal="right"/>
    </xf>
    <xf numFmtId="0" fontId="23" fillId="0" borderId="0" xfId="2" applyFont="1"/>
    <xf numFmtId="0" fontId="6" fillId="2" borderId="1" xfId="2" applyFont="1" applyFill="1" applyBorder="1"/>
    <xf numFmtId="0" fontId="5" fillId="2" borderId="72" xfId="2" applyFont="1" applyFill="1" applyBorder="1" applyAlignment="1">
      <alignment horizontal="center"/>
    </xf>
    <xf numFmtId="0" fontId="5" fillId="2" borderId="82" xfId="2" applyFont="1" applyFill="1" applyBorder="1"/>
    <xf numFmtId="0" fontId="5" fillId="2" borderId="83" xfId="2" applyFont="1" applyFill="1" applyBorder="1" applyAlignment="1">
      <alignment horizontal="center"/>
    </xf>
    <xf numFmtId="0" fontId="8" fillId="2" borderId="84" xfId="2" applyFont="1" applyFill="1" applyBorder="1" applyAlignment="1">
      <alignment horizontal="center"/>
    </xf>
    <xf numFmtId="0" fontId="8" fillId="2" borderId="1" xfId="2" applyFont="1" applyFill="1" applyBorder="1"/>
    <xf numFmtId="0" fontId="5" fillId="2" borderId="71" xfId="2" applyFont="1" applyFill="1" applyBorder="1"/>
    <xf numFmtId="0" fontId="5" fillId="2" borderId="7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8" fillId="2" borderId="14" xfId="2" applyFont="1" applyFill="1" applyBorder="1"/>
    <xf numFmtId="0" fontId="5" fillId="2" borderId="61" xfId="2" applyFont="1" applyFill="1" applyBorder="1" applyAlignment="1">
      <alignment horizontal="center"/>
    </xf>
    <xf numFmtId="0" fontId="5" fillId="0" borderId="85" xfId="2" applyFont="1" applyBorder="1" applyAlignment="1">
      <alignment vertical="top" wrapText="1"/>
    </xf>
    <xf numFmtId="0" fontId="5" fillId="0" borderId="61" xfId="2" applyFont="1" applyFill="1" applyBorder="1" applyAlignment="1">
      <alignment horizontal="center" vertical="top" wrapText="1"/>
    </xf>
    <xf numFmtId="9" fontId="8" fillId="0" borderId="15" xfId="2" applyNumberFormat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0" fontId="5" fillId="0" borderId="68" xfId="2" applyFont="1" applyFill="1" applyBorder="1" applyAlignment="1">
      <alignment horizontal="left"/>
    </xf>
    <xf numFmtId="1" fontId="5" fillId="0" borderId="68" xfId="1" applyNumberFormat="1" applyFont="1" applyFill="1" applyBorder="1" applyAlignment="1">
      <alignment horizontal="center"/>
    </xf>
    <xf numFmtId="9" fontId="8" fillId="0" borderId="9" xfId="2" applyNumberFormat="1" applyFont="1" applyBorder="1" applyAlignment="1">
      <alignment horizontal="center"/>
    </xf>
    <xf numFmtId="0" fontId="5" fillId="0" borderId="61" xfId="2" applyFont="1" applyBorder="1"/>
    <xf numFmtId="0" fontId="5" fillId="0" borderId="0" xfId="2" applyNumberFormat="1" applyFont="1" applyAlignment="1">
      <alignment horizontal="center"/>
    </xf>
    <xf numFmtId="0" fontId="5" fillId="0" borderId="0" xfId="2" applyNumberFormat="1" applyFont="1" applyBorder="1" applyAlignment="1">
      <alignment horizontal="center"/>
    </xf>
    <xf numFmtId="0" fontId="5" fillId="0" borderId="86" xfId="2" applyFont="1" applyBorder="1"/>
    <xf numFmtId="0" fontId="5" fillId="0" borderId="87" xfId="2" applyFont="1" applyBorder="1" applyAlignment="1">
      <alignment horizontal="right"/>
    </xf>
    <xf numFmtId="0" fontId="5" fillId="0" borderId="87" xfId="2" applyNumberFormat="1" applyFont="1" applyBorder="1" applyAlignment="1">
      <alignment horizontal="center"/>
    </xf>
    <xf numFmtId="9" fontId="8" fillId="0" borderId="88" xfId="2" applyNumberFormat="1" applyFont="1" applyBorder="1" applyAlignment="1">
      <alignment horizontal="center"/>
    </xf>
    <xf numFmtId="0" fontId="5" fillId="2" borderId="65" xfId="2" applyFont="1" applyFill="1" applyBorder="1" applyAlignment="1">
      <alignment vertical="top" wrapText="1"/>
    </xf>
    <xf numFmtId="0" fontId="5" fillId="2" borderId="64" xfId="2" applyFont="1" applyFill="1" applyBorder="1" applyAlignment="1">
      <alignment horizontal="center" wrapText="1"/>
    </xf>
    <xf numFmtId="9" fontId="8" fillId="2" borderId="41" xfId="2" applyNumberFormat="1" applyFont="1" applyFill="1" applyBorder="1" applyAlignment="1">
      <alignment horizontal="center"/>
    </xf>
    <xf numFmtId="0" fontId="8" fillId="2" borderId="8" xfId="2" applyFont="1" applyFill="1" applyBorder="1"/>
    <xf numFmtId="0" fontId="5" fillId="2" borderId="68" xfId="2" applyFont="1" applyFill="1" applyBorder="1"/>
    <xf numFmtId="0" fontId="17" fillId="2" borderId="9" xfId="2" applyFont="1" applyFill="1" applyBorder="1" applyAlignment="1">
      <alignment horizontal="center"/>
    </xf>
    <xf numFmtId="0" fontId="5" fillId="0" borderId="89" xfId="2" applyFont="1" applyFill="1" applyBorder="1" applyAlignment="1">
      <alignment vertical="top" wrapText="1"/>
    </xf>
    <xf numFmtId="168" fontId="5" fillId="0" borderId="90" xfId="2" applyNumberFormat="1" applyFont="1" applyFill="1" applyBorder="1" applyAlignment="1">
      <alignment horizontal="center" vertical="top" wrapText="1"/>
    </xf>
    <xf numFmtId="9" fontId="8" fillId="0" borderId="88" xfId="2" applyNumberFormat="1" applyFont="1" applyFill="1" applyBorder="1" applyAlignment="1">
      <alignment horizontal="center"/>
    </xf>
    <xf numFmtId="0" fontId="8" fillId="2" borderId="51" xfId="2" applyFont="1" applyFill="1" applyBorder="1"/>
    <xf numFmtId="0" fontId="5" fillId="2" borderId="52" xfId="2" applyFont="1" applyFill="1" applyBorder="1"/>
    <xf numFmtId="0" fontId="5" fillId="0" borderId="52" xfId="2" applyFont="1" applyFill="1" applyBorder="1" applyAlignment="1">
      <alignment horizontal="center"/>
    </xf>
    <xf numFmtId="9" fontId="8" fillId="0" borderId="53" xfId="1" applyFont="1" applyFill="1" applyBorder="1" applyAlignment="1">
      <alignment horizontal="center"/>
    </xf>
    <xf numFmtId="0" fontId="5" fillId="0" borderId="69" xfId="2" applyFont="1" applyBorder="1" applyAlignment="1">
      <alignment horizontal="center"/>
    </xf>
    <xf numFmtId="0" fontId="5" fillId="8" borderId="91" xfId="2" applyFont="1" applyFill="1" applyBorder="1" applyAlignment="1">
      <alignment vertical="top" wrapText="1"/>
    </xf>
    <xf numFmtId="0" fontId="5" fillId="8" borderId="69" xfId="2" applyFont="1" applyFill="1" applyBorder="1" applyAlignment="1">
      <alignment horizontal="center" vertical="top" wrapText="1"/>
    </xf>
    <xf numFmtId="9" fontId="8" fillId="8" borderId="9" xfId="2" applyNumberFormat="1" applyFont="1" applyFill="1" applyBorder="1" applyAlignment="1">
      <alignment horizontal="center"/>
    </xf>
    <xf numFmtId="0" fontId="5" fillId="2" borderId="52" xfId="2" applyFont="1" applyFill="1" applyBorder="1" applyAlignment="1">
      <alignment horizontal="center"/>
    </xf>
    <xf numFmtId="166" fontId="8" fillId="0" borderId="53" xfId="1" applyNumberFormat="1" applyFont="1" applyFill="1" applyBorder="1" applyAlignment="1">
      <alignment horizontal="center"/>
    </xf>
    <xf numFmtId="0" fontId="5" fillId="0" borderId="0" xfId="2" applyFont="1" applyFill="1" applyAlignment="1">
      <alignment horizontal="left"/>
    </xf>
    <xf numFmtId="0" fontId="15" fillId="0" borderId="0" xfId="2" applyFont="1" applyBorder="1" applyAlignment="1">
      <alignment horizontal="left" vertical="top" wrapText="1"/>
    </xf>
    <xf numFmtId="0" fontId="5" fillId="0" borderId="0" xfId="2" applyFont="1" applyFill="1" applyAlignment="1">
      <alignment wrapText="1"/>
    </xf>
    <xf numFmtId="164" fontId="5" fillId="2" borderId="71" xfId="2" applyNumberFormat="1" applyFont="1" applyFill="1" applyBorder="1" applyAlignment="1">
      <alignment horizontal="center"/>
    </xf>
    <xf numFmtId="0" fontId="6" fillId="2" borderId="1" xfId="2" applyFont="1" applyFill="1" applyBorder="1" applyAlignment="1">
      <alignment horizontal="left"/>
    </xf>
    <xf numFmtId="0" fontId="30" fillId="6" borderId="75" xfId="2" applyFont="1" applyFill="1" applyBorder="1"/>
    <xf numFmtId="0" fontId="5" fillId="2" borderId="14" xfId="2" applyFont="1" applyFill="1" applyBorder="1"/>
    <xf numFmtId="0" fontId="5" fillId="2" borderId="0" xfId="2" applyFont="1" applyFill="1" applyBorder="1" applyAlignment="1">
      <alignment horizontal="center"/>
    </xf>
    <xf numFmtId="0" fontId="5" fillId="2" borderId="86" xfId="2" applyFont="1" applyFill="1" applyBorder="1"/>
    <xf numFmtId="0" fontId="5" fillId="2" borderId="88" xfId="2" applyFont="1" applyFill="1" applyBorder="1" applyAlignment="1">
      <alignment horizontal="center"/>
    </xf>
    <xf numFmtId="0" fontId="5" fillId="8" borderId="92" xfId="2" applyFont="1" applyFill="1" applyBorder="1" applyAlignment="1">
      <alignment horizontal="center"/>
    </xf>
    <xf numFmtId="0" fontId="5" fillId="8" borderId="84" xfId="2" applyFont="1" applyFill="1" applyBorder="1" applyAlignment="1">
      <alignment horizontal="center"/>
    </xf>
    <xf numFmtId="0" fontId="30" fillId="0" borderId="0" xfId="2" applyFont="1"/>
    <xf numFmtId="0" fontId="5" fillId="2" borderId="68" xfId="2" applyFont="1" applyFill="1" applyBorder="1" applyAlignment="1">
      <alignment horizontal="center"/>
    </xf>
    <xf numFmtId="0" fontId="5" fillId="0" borderId="67" xfId="2" applyFont="1" applyFill="1" applyBorder="1" applyAlignment="1">
      <alignment horizontal="center"/>
    </xf>
    <xf numFmtId="0" fontId="8" fillId="0" borderId="12" xfId="2" applyFont="1" applyFill="1" applyBorder="1" applyAlignment="1">
      <alignment horizontal="center"/>
    </xf>
    <xf numFmtId="0" fontId="5" fillId="0" borderId="30" xfId="2" applyNumberFormat="1" applyFont="1" applyBorder="1" applyAlignment="1">
      <alignment horizontal="center"/>
    </xf>
    <xf numFmtId="164" fontId="5" fillId="0" borderId="15" xfId="4" applyNumberFormat="1" applyFont="1" applyBorder="1" applyAlignment="1">
      <alignment horizontal="center"/>
    </xf>
    <xf numFmtId="0" fontId="30" fillId="0" borderId="0" xfId="2" applyFont="1" applyBorder="1"/>
    <xf numFmtId="0" fontId="5" fillId="0" borderId="1" xfId="2" applyFont="1" applyFill="1" applyBorder="1" applyAlignment="1"/>
    <xf numFmtId="0" fontId="5" fillId="0" borderId="71" xfId="2" applyFont="1" applyFill="1" applyBorder="1" applyAlignment="1"/>
    <xf numFmtId="0" fontId="5" fillId="0" borderId="14" xfId="2" applyNumberFormat="1" applyFont="1" applyFill="1" applyBorder="1" applyAlignment="1">
      <alignment horizontal="center"/>
    </xf>
    <xf numFmtId="164" fontId="5" fillId="0" borderId="32" xfId="2" applyNumberFormat="1" applyFont="1" applyFill="1" applyBorder="1" applyAlignment="1">
      <alignment horizontal="center"/>
    </xf>
    <xf numFmtId="0" fontId="30" fillId="0" borderId="6" xfId="2" applyFont="1" applyBorder="1"/>
    <xf numFmtId="0" fontId="30" fillId="0" borderId="6" xfId="2" applyNumberFormat="1" applyFont="1" applyBorder="1"/>
    <xf numFmtId="0" fontId="5" fillId="0" borderId="14" xfId="2" applyFont="1" applyFill="1" applyBorder="1" applyAlignment="1"/>
    <xf numFmtId="0" fontId="5" fillId="0" borderId="0" xfId="2" applyFont="1" applyFill="1" applyBorder="1" applyAlignment="1"/>
    <xf numFmtId="0" fontId="5" fillId="0" borderId="14" xfId="2" applyNumberFormat="1" applyFont="1" applyBorder="1" applyAlignment="1">
      <alignment horizontal="center"/>
    </xf>
    <xf numFmtId="0" fontId="5" fillId="2" borderId="14" xfId="2" applyFont="1" applyFill="1" applyBorder="1" applyAlignment="1"/>
    <xf numFmtId="0" fontId="5" fillId="2" borderId="0" xfId="2" applyFont="1" applyFill="1" applyBorder="1" applyAlignment="1"/>
    <xf numFmtId="0" fontId="5" fillId="2" borderId="14" xfId="2" applyNumberFormat="1" applyFont="1" applyFill="1" applyBorder="1" applyAlignment="1">
      <alignment horizontal="center"/>
    </xf>
    <xf numFmtId="164" fontId="5" fillId="2" borderId="32" xfId="2" applyNumberFormat="1" applyFont="1" applyFill="1" applyBorder="1" applyAlignment="1">
      <alignment horizontal="center"/>
    </xf>
    <xf numFmtId="0" fontId="30" fillId="2" borderId="93" xfId="2" applyFont="1" applyFill="1" applyBorder="1"/>
    <xf numFmtId="0" fontId="5" fillId="2" borderId="94" xfId="2" applyFont="1" applyFill="1" applyBorder="1"/>
    <xf numFmtId="0" fontId="30" fillId="2" borderId="95" xfId="2" applyNumberFormat="1" applyFont="1" applyFill="1" applyBorder="1" applyAlignment="1">
      <alignment horizontal="center"/>
    </xf>
    <xf numFmtId="164" fontId="30" fillId="2" borderId="94" xfId="4" applyNumberFormat="1" applyFont="1" applyFill="1" applyBorder="1" applyAlignment="1">
      <alignment horizontal="center"/>
    </xf>
    <xf numFmtId="0" fontId="30" fillId="0" borderId="86" xfId="2" applyFont="1" applyFill="1" applyBorder="1"/>
    <xf numFmtId="0" fontId="5" fillId="0" borderId="94" xfId="2" applyFont="1" applyFill="1" applyBorder="1"/>
    <xf numFmtId="0" fontId="30" fillId="0" borderId="96" xfId="2" applyNumberFormat="1" applyFont="1" applyFill="1" applyBorder="1" applyAlignment="1">
      <alignment horizontal="center"/>
    </xf>
    <xf numFmtId="164" fontId="30" fillId="0" borderId="88" xfId="4" applyNumberFormat="1" applyFont="1" applyFill="1" applyBorder="1" applyAlignment="1">
      <alignment horizontal="center"/>
    </xf>
    <xf numFmtId="0" fontId="30" fillId="0" borderId="93" xfId="2" applyFont="1" applyFill="1" applyBorder="1"/>
    <xf numFmtId="0" fontId="30" fillId="0" borderId="95" xfId="2" applyNumberFormat="1" applyFont="1" applyFill="1" applyBorder="1" applyAlignment="1">
      <alignment horizontal="center"/>
    </xf>
    <xf numFmtId="164" fontId="30" fillId="0" borderId="94" xfId="4" applyNumberFormat="1" applyFont="1" applyFill="1" applyBorder="1" applyAlignment="1">
      <alignment horizontal="center"/>
    </xf>
    <xf numFmtId="0" fontId="30" fillId="0" borderId="63" xfId="2" applyFont="1" applyBorder="1"/>
    <xf numFmtId="0" fontId="5" fillId="0" borderId="73" xfId="2" applyFont="1" applyBorder="1" applyAlignment="1"/>
    <xf numFmtId="0" fontId="5" fillId="0" borderId="63" xfId="2" applyFont="1" applyBorder="1" applyAlignment="1"/>
    <xf numFmtId="0" fontId="16" fillId="0" borderId="30" xfId="2" applyFont="1" applyBorder="1" applyAlignment="1">
      <alignment horizontal="center"/>
    </xf>
    <xf numFmtId="164" fontId="16" fillId="0" borderId="32" xfId="2" applyNumberFormat="1" applyFont="1" applyBorder="1" applyAlignment="1">
      <alignment horizontal="center"/>
    </xf>
    <xf numFmtId="0" fontId="16" fillId="0" borderId="30" xfId="2" applyFont="1" applyFill="1" applyBorder="1" applyAlignment="1">
      <alignment horizontal="center"/>
    </xf>
    <xf numFmtId="0" fontId="30" fillId="0" borderId="97" xfId="2" applyFont="1" applyBorder="1"/>
    <xf numFmtId="0" fontId="30" fillId="0" borderId="97" xfId="2" applyNumberFormat="1" applyFont="1" applyBorder="1"/>
    <xf numFmtId="0" fontId="8" fillId="0" borderId="98" xfId="2" applyFont="1" applyBorder="1"/>
    <xf numFmtId="0" fontId="5" fillId="0" borderId="99" xfId="2" applyFont="1" applyBorder="1" applyAlignment="1">
      <alignment horizontal="center"/>
    </xf>
    <xf numFmtId="0" fontId="8" fillId="0" borderId="95" xfId="2" applyFont="1" applyBorder="1" applyAlignment="1">
      <alignment horizontal="center"/>
    </xf>
    <xf numFmtId="164" fontId="8" fillId="0" borderId="100" xfId="4" applyNumberFormat="1" applyFont="1" applyBorder="1" applyAlignment="1">
      <alignment horizontal="center"/>
    </xf>
    <xf numFmtId="0" fontId="8" fillId="0" borderId="95" xfId="2" applyFont="1" applyFill="1" applyBorder="1" applyAlignment="1">
      <alignment horizontal="center"/>
    </xf>
    <xf numFmtId="0" fontId="30" fillId="0" borderId="14" xfId="2" applyFont="1" applyFill="1" applyBorder="1"/>
    <xf numFmtId="0" fontId="31" fillId="0" borderId="101" xfId="2" applyNumberFormat="1" applyFont="1" applyFill="1" applyBorder="1" applyAlignment="1">
      <alignment horizontal="center"/>
    </xf>
    <xf numFmtId="164" fontId="30" fillId="0" borderId="15" xfId="4" applyNumberFormat="1" applyFont="1" applyFill="1" applyBorder="1" applyAlignment="1">
      <alignment horizontal="center"/>
    </xf>
    <xf numFmtId="0" fontId="8" fillId="0" borderId="102" xfId="2" applyFont="1" applyBorder="1"/>
    <xf numFmtId="0" fontId="5" fillId="0" borderId="103" xfId="2" applyFont="1" applyBorder="1" applyAlignment="1">
      <alignment horizontal="center"/>
    </xf>
    <xf numFmtId="0" fontId="5" fillId="0" borderId="104" xfId="2" applyFont="1" applyBorder="1" applyAlignment="1">
      <alignment horizontal="center"/>
    </xf>
    <xf numFmtId="164" fontId="5" fillId="0" borderId="105" xfId="2" applyNumberFormat="1" applyFont="1" applyBorder="1" applyAlignment="1">
      <alignment horizontal="center"/>
    </xf>
    <xf numFmtId="0" fontId="5" fillId="0" borderId="104" xfId="2" applyFont="1" applyFill="1" applyBorder="1" applyAlignment="1">
      <alignment horizontal="center"/>
    </xf>
    <xf numFmtId="0" fontId="8" fillId="8" borderId="8" xfId="2" applyFont="1" applyFill="1" applyBorder="1"/>
    <xf numFmtId="0" fontId="8" fillId="8" borderId="9" xfId="2" applyFont="1" applyFill="1" applyBorder="1"/>
    <xf numFmtId="0" fontId="8" fillId="8" borderId="106" xfId="2" applyNumberFormat="1" applyFont="1" applyFill="1" applyBorder="1" applyAlignment="1">
      <alignment horizontal="center"/>
    </xf>
    <xf numFmtId="164" fontId="8" fillId="8" borderId="9" xfId="4" applyNumberFormat="1" applyFont="1" applyFill="1" applyBorder="1" applyAlignment="1">
      <alignment horizontal="center"/>
    </xf>
    <xf numFmtId="0" fontId="5" fillId="2" borderId="88" xfId="2" applyFont="1" applyFill="1" applyBorder="1"/>
    <xf numFmtId="0" fontId="5" fillId="2" borderId="96" xfId="2" applyNumberFormat="1" applyFont="1" applyFill="1" applyBorder="1" applyAlignment="1">
      <alignment horizontal="center"/>
    </xf>
    <xf numFmtId="0" fontId="8" fillId="8" borderId="67" xfId="2" applyNumberFormat="1" applyFont="1" applyFill="1" applyBorder="1" applyAlignment="1">
      <alignment horizontal="center"/>
    </xf>
    <xf numFmtId="0" fontId="8" fillId="8" borderId="9" xfId="2" applyFont="1" applyFill="1" applyBorder="1" applyAlignment="1">
      <alignment horizontal="center"/>
    </xf>
    <xf numFmtId="0" fontId="5" fillId="5" borderId="0" xfId="2" applyFont="1" applyFill="1"/>
    <xf numFmtId="0" fontId="5" fillId="0" borderId="30" xfId="2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0" fontId="5" fillId="8" borderId="107" xfId="2" applyFont="1" applyFill="1" applyBorder="1" applyAlignment="1">
      <alignment horizontal="center"/>
    </xf>
    <xf numFmtId="0" fontId="5" fillId="8" borderId="53" xfId="2" applyFont="1" applyFill="1" applyBorder="1" applyAlignment="1">
      <alignment horizontal="center"/>
    </xf>
    <xf numFmtId="0" fontId="5" fillId="0" borderId="1" xfId="2" applyFont="1" applyBorder="1"/>
    <xf numFmtId="0" fontId="5" fillId="0" borderId="2" xfId="2" applyFont="1" applyBorder="1"/>
    <xf numFmtId="164" fontId="5" fillId="0" borderId="32" xfId="2" applyNumberFormat="1" applyFont="1" applyBorder="1" applyAlignment="1">
      <alignment horizontal="center"/>
    </xf>
    <xf numFmtId="0" fontId="5" fillId="0" borderId="86" xfId="2" applyFont="1" applyBorder="1" applyAlignment="1"/>
    <xf numFmtId="0" fontId="5" fillId="0" borderId="87" xfId="2" applyFont="1" applyBorder="1" applyAlignment="1"/>
    <xf numFmtId="0" fontId="16" fillId="0" borderId="96" xfId="2" applyFont="1" applyBorder="1" applyAlignment="1">
      <alignment horizontal="center"/>
    </xf>
    <xf numFmtId="164" fontId="16" fillId="0" borderId="108" xfId="2" applyNumberFormat="1" applyFont="1" applyBorder="1" applyAlignment="1">
      <alignment horizontal="center"/>
    </xf>
    <xf numFmtId="0" fontId="16" fillId="0" borderId="96" xfId="2" applyFont="1" applyFill="1" applyBorder="1" applyAlignment="1">
      <alignment horizontal="center"/>
    </xf>
    <xf numFmtId="0" fontId="8" fillId="8" borderId="109" xfId="2" applyFont="1" applyFill="1" applyBorder="1" applyAlignment="1"/>
    <xf numFmtId="0" fontId="8" fillId="8" borderId="110" xfId="2" applyFont="1" applyFill="1" applyBorder="1" applyAlignment="1"/>
    <xf numFmtId="0" fontId="8" fillId="8" borderId="67" xfId="2" applyFont="1" applyFill="1" applyBorder="1" applyAlignment="1">
      <alignment horizontal="center"/>
    </xf>
    <xf numFmtId="164" fontId="8" fillId="8" borderId="12" xfId="2" applyNumberFormat="1" applyFont="1" applyFill="1" applyBorder="1" applyAlignment="1">
      <alignment horizontal="center"/>
    </xf>
    <xf numFmtId="0" fontId="8" fillId="0" borderId="69" xfId="2" applyFont="1" applyFill="1" applyBorder="1" applyAlignment="1">
      <alignment horizontal="center"/>
    </xf>
    <xf numFmtId="0" fontId="5" fillId="0" borderId="9" xfId="2" applyFont="1" applyBorder="1"/>
    <xf numFmtId="0" fontId="5" fillId="2" borderId="95" xfId="2" applyNumberFormat="1" applyFont="1" applyFill="1" applyBorder="1" applyAlignment="1">
      <alignment horizontal="center"/>
    </xf>
    <xf numFmtId="164" fontId="5" fillId="2" borderId="94" xfId="4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left"/>
    </xf>
    <xf numFmtId="0" fontId="8" fillId="9" borderId="111" xfId="2" applyFont="1" applyFill="1" applyBorder="1" applyAlignment="1">
      <alignment horizontal="center"/>
    </xf>
    <xf numFmtId="0" fontId="8" fillId="10" borderId="112" xfId="2" applyFont="1" applyFill="1" applyBorder="1" applyAlignment="1">
      <alignment horizontal="center"/>
    </xf>
    <xf numFmtId="164" fontId="8" fillId="10" borderId="111" xfId="2" applyNumberFormat="1" applyFont="1" applyFill="1" applyBorder="1" applyAlignment="1">
      <alignment horizontal="center"/>
    </xf>
    <xf numFmtId="0" fontId="8" fillId="10" borderId="111" xfId="2" applyFont="1" applyFill="1" applyBorder="1"/>
    <xf numFmtId="0" fontId="13" fillId="8" borderId="77" xfId="2" applyFont="1" applyFill="1" applyBorder="1"/>
    <xf numFmtId="0" fontId="5" fillId="8" borderId="80" xfId="2" applyFont="1" applyFill="1" applyBorder="1"/>
    <xf numFmtId="0" fontId="13" fillId="8" borderId="10" xfId="2" applyNumberFormat="1" applyFont="1" applyFill="1" applyBorder="1" applyAlignment="1">
      <alignment horizontal="center"/>
    </xf>
    <xf numFmtId="0" fontId="5" fillId="8" borderId="80" xfId="2" applyFont="1" applyFill="1" applyBorder="1" applyAlignment="1">
      <alignment horizontal="center"/>
    </xf>
    <xf numFmtId="0" fontId="32" fillId="11" borderId="112" xfId="2" applyFont="1" applyFill="1" applyBorder="1" applyAlignment="1">
      <alignment horizontal="center"/>
    </xf>
    <xf numFmtId="0" fontId="5" fillId="0" borderId="113" xfId="2" applyFont="1" applyFill="1" applyBorder="1" applyAlignment="1">
      <alignment horizontal="center"/>
    </xf>
    <xf numFmtId="0" fontId="8" fillId="0" borderId="111" xfId="2" applyFont="1" applyBorder="1" applyAlignment="1">
      <alignment horizontal="center"/>
    </xf>
    <xf numFmtId="168" fontId="5" fillId="0" borderId="111" xfId="2" applyNumberFormat="1" applyFont="1" applyFill="1" applyBorder="1" applyAlignment="1">
      <alignment horizontal="center"/>
    </xf>
    <xf numFmtId="164" fontId="5" fillId="0" borderId="111" xfId="1" applyNumberFormat="1" applyFont="1" applyBorder="1" applyAlignment="1">
      <alignment horizontal="center"/>
    </xf>
    <xf numFmtId="0" fontId="32" fillId="11" borderId="114" xfId="2" applyFont="1" applyFill="1" applyBorder="1" applyAlignment="1">
      <alignment horizontal="center"/>
    </xf>
    <xf numFmtId="0" fontId="5" fillId="0" borderId="61" xfId="2" applyFont="1" applyBorder="1" applyAlignment="1">
      <alignment horizontal="center"/>
    </xf>
    <xf numFmtId="0" fontId="8" fillId="0" borderId="31" xfId="2" applyFont="1" applyBorder="1" applyAlignment="1">
      <alignment horizontal="center"/>
    </xf>
    <xf numFmtId="168" fontId="5" fillId="0" borderId="31" xfId="2" applyNumberFormat="1" applyFont="1" applyBorder="1" applyAlignment="1">
      <alignment horizontal="center"/>
    </xf>
    <xf numFmtId="164" fontId="5" fillId="0" borderId="31" xfId="1" applyNumberFormat="1" applyFont="1" applyBorder="1" applyAlignment="1">
      <alignment horizontal="center"/>
    </xf>
    <xf numFmtId="168" fontId="5" fillId="0" borderId="43" xfId="2" applyNumberFormat="1" applyFont="1" applyBorder="1" applyAlignment="1">
      <alignment horizontal="center"/>
    </xf>
    <xf numFmtId="164" fontId="5" fillId="0" borderId="43" xfId="1" applyNumberFormat="1" applyFont="1" applyBorder="1" applyAlignment="1">
      <alignment horizontal="center"/>
    </xf>
    <xf numFmtId="0" fontId="5" fillId="0" borderId="64" xfId="2" applyFont="1" applyBorder="1" applyAlignment="1">
      <alignment horizontal="center"/>
    </xf>
    <xf numFmtId="0" fontId="32" fillId="11" borderId="115" xfId="2" applyFont="1" applyFill="1" applyBorder="1" applyAlignment="1">
      <alignment horizontal="center"/>
    </xf>
    <xf numFmtId="168" fontId="5" fillId="0" borderId="111" xfId="2" applyNumberFormat="1" applyFont="1" applyBorder="1" applyAlignment="1">
      <alignment horizontal="center"/>
    </xf>
    <xf numFmtId="0" fontId="32" fillId="11" borderId="116" xfId="2" applyFont="1" applyFill="1" applyBorder="1" applyAlignment="1">
      <alignment horizontal="center"/>
    </xf>
    <xf numFmtId="0" fontId="5" fillId="0" borderId="113" xfId="2" applyFont="1" applyBorder="1" applyAlignment="1">
      <alignment horizontal="center"/>
    </xf>
    <xf numFmtId="0" fontId="32" fillId="11" borderId="31" xfId="2" applyFont="1" applyFill="1" applyBorder="1" applyAlignment="1">
      <alignment horizontal="center"/>
    </xf>
    <xf numFmtId="0" fontId="8" fillId="0" borderId="43" xfId="2" applyFont="1" applyBorder="1" applyAlignment="1">
      <alignment horizontal="center"/>
    </xf>
    <xf numFmtId="0" fontId="32" fillId="11" borderId="117" xfId="2" applyFont="1" applyFill="1" applyBorder="1" applyAlignment="1">
      <alignment horizontal="center"/>
    </xf>
    <xf numFmtId="0" fontId="32" fillId="11" borderId="118" xfId="2" applyFont="1" applyFill="1" applyBorder="1" applyAlignment="1">
      <alignment horizontal="center"/>
    </xf>
    <xf numFmtId="0" fontId="32" fillId="11" borderId="119" xfId="2" applyFont="1" applyFill="1" applyBorder="1" applyAlignment="1">
      <alignment horizontal="center"/>
    </xf>
    <xf numFmtId="0" fontId="32" fillId="12" borderId="5" xfId="2" applyFont="1" applyFill="1" applyBorder="1" applyAlignment="1">
      <alignment horizontal="center"/>
    </xf>
    <xf numFmtId="168" fontId="8" fillId="0" borderId="38" xfId="2" applyNumberFormat="1" applyFont="1" applyBorder="1" applyAlignment="1">
      <alignment horizontal="center"/>
    </xf>
    <xf numFmtId="0" fontId="8" fillId="0" borderId="112" xfId="2" applyFont="1" applyBorder="1"/>
    <xf numFmtId="165" fontId="5" fillId="0" borderId="24" xfId="2" applyNumberFormat="1" applyFont="1" applyFill="1" applyBorder="1" applyAlignment="1">
      <alignment horizontal="center"/>
    </xf>
    <xf numFmtId="165" fontId="5" fillId="2" borderId="24" xfId="2" applyNumberFormat="1" applyFont="1" applyFill="1" applyBorder="1" applyAlignment="1">
      <alignment horizontal="center"/>
    </xf>
    <xf numFmtId="164" fontId="5" fillId="0" borderId="24" xfId="2" applyNumberFormat="1" applyFont="1" applyFill="1" applyBorder="1" applyAlignment="1">
      <alignment horizontal="center"/>
    </xf>
    <xf numFmtId="0" fontId="5" fillId="2" borderId="23" xfId="2" applyFont="1" applyFill="1" applyBorder="1" applyAlignment="1">
      <alignment horizontal="center"/>
    </xf>
    <xf numFmtId="166" fontId="5" fillId="0" borderId="58" xfId="2" applyNumberFormat="1" applyFont="1" applyFill="1" applyBorder="1" applyAlignment="1">
      <alignment horizontal="center"/>
    </xf>
    <xf numFmtId="166" fontId="5" fillId="2" borderId="58" xfId="2" applyNumberFormat="1" applyFont="1" applyFill="1" applyBorder="1" applyAlignment="1">
      <alignment horizontal="center"/>
    </xf>
    <xf numFmtId="0" fontId="6" fillId="13" borderId="3" xfId="2" applyFont="1" applyFill="1" applyBorder="1"/>
    <xf numFmtId="0" fontId="5" fillId="13" borderId="4" xfId="2" applyFont="1" applyFill="1" applyBorder="1" applyAlignment="1">
      <alignment horizontal="center"/>
    </xf>
    <xf numFmtId="164" fontId="5" fillId="13" borderId="59" xfId="2" applyNumberFormat="1" applyFont="1" applyFill="1" applyBorder="1" applyAlignment="1">
      <alignment horizontal="center"/>
    </xf>
    <xf numFmtId="164" fontId="5" fillId="13" borderId="4" xfId="2" applyNumberFormat="1" applyFont="1" applyFill="1" applyBorder="1" applyAlignment="1">
      <alignment horizontal="center"/>
    </xf>
    <xf numFmtId="0" fontId="5" fillId="13" borderId="59" xfId="2" applyFont="1" applyFill="1" applyBorder="1" applyAlignment="1">
      <alignment horizontal="center"/>
    </xf>
    <xf numFmtId="0" fontId="8" fillId="13" borderId="1" xfId="2" applyFont="1" applyFill="1" applyBorder="1" applyAlignment="1">
      <alignment horizontal="left"/>
    </xf>
    <xf numFmtId="0" fontId="5" fillId="13" borderId="71" xfId="2" applyFont="1" applyFill="1" applyBorder="1"/>
    <xf numFmtId="0" fontId="5" fillId="13" borderId="71" xfId="2" applyFont="1" applyFill="1" applyBorder="1" applyAlignment="1">
      <alignment horizontal="center"/>
    </xf>
    <xf numFmtId="0" fontId="5" fillId="13" borderId="72" xfId="2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Fill="1" applyAlignment="1">
      <alignment wrapText="1"/>
    </xf>
    <xf numFmtId="0" fontId="8" fillId="0" borderId="9" xfId="2" applyFont="1" applyFill="1" applyBorder="1" applyAlignment="1">
      <alignment horizontal="center"/>
    </xf>
    <xf numFmtId="0" fontId="8" fillId="13" borderId="71" xfId="2" applyFont="1" applyFill="1" applyBorder="1"/>
    <xf numFmtId="0" fontId="5" fillId="13" borderId="2" xfId="2" applyFont="1" applyFill="1" applyBorder="1" applyAlignment="1">
      <alignment horizontal="center"/>
    </xf>
    <xf numFmtId="0" fontId="8" fillId="13" borderId="1" xfId="2" applyFont="1" applyFill="1" applyBorder="1"/>
    <xf numFmtId="0" fontId="8" fillId="13" borderId="71" xfId="2" applyFont="1" applyFill="1" applyBorder="1" applyAlignment="1">
      <alignment horizontal="center"/>
    </xf>
    <xf numFmtId="0" fontId="8" fillId="13" borderId="71" xfId="2" applyFont="1" applyFill="1" applyBorder="1" applyAlignment="1">
      <alignment horizontal="right"/>
    </xf>
    <xf numFmtId="164" fontId="8" fillId="0" borderId="0" xfId="2" applyNumberFormat="1" applyFont="1" applyFill="1" applyAlignment="1">
      <alignment horizontal="center"/>
    </xf>
    <xf numFmtId="0" fontId="5" fillId="0" borderId="120" xfId="2" applyFont="1" applyBorder="1" applyAlignment="1">
      <alignment horizontal="center"/>
    </xf>
    <xf numFmtId="0" fontId="8" fillId="8" borderId="77" xfId="2" applyFont="1" applyFill="1" applyBorder="1"/>
    <xf numFmtId="0" fontId="8" fillId="8" borderId="80" xfId="2" applyFont="1" applyFill="1" applyBorder="1"/>
    <xf numFmtId="0" fontId="8" fillId="8" borderId="121" xfId="2" applyNumberFormat="1" applyFont="1" applyFill="1" applyBorder="1" applyAlignment="1">
      <alignment horizontal="center"/>
    </xf>
    <xf numFmtId="164" fontId="8" fillId="8" borderId="80" xfId="4" applyNumberFormat="1" applyFont="1" applyFill="1" applyBorder="1" applyAlignment="1">
      <alignment horizontal="center"/>
    </xf>
    <xf numFmtId="0" fontId="6" fillId="13" borderId="1" xfId="2" applyFont="1" applyFill="1" applyBorder="1" applyAlignment="1">
      <alignment horizontal="left"/>
    </xf>
    <xf numFmtId="0" fontId="6" fillId="13" borderId="1" xfId="2" applyFont="1" applyFill="1" applyBorder="1"/>
    <xf numFmtId="0" fontId="8" fillId="13" borderId="14" xfId="2" applyFont="1" applyFill="1" applyBorder="1"/>
    <xf numFmtId="0" fontId="5" fillId="13" borderId="61" xfId="2" applyFont="1" applyFill="1" applyBorder="1" applyAlignment="1">
      <alignment horizontal="center"/>
    </xf>
    <xf numFmtId="0" fontId="8" fillId="13" borderId="8" xfId="2" applyFont="1" applyFill="1" applyBorder="1"/>
    <xf numFmtId="0" fontId="5" fillId="13" borderId="68" xfId="2" applyFont="1" applyFill="1" applyBorder="1"/>
    <xf numFmtId="0" fontId="8" fillId="13" borderId="51" xfId="2" applyFont="1" applyFill="1" applyBorder="1"/>
    <xf numFmtId="0" fontId="5" fillId="13" borderId="52" xfId="2" applyFont="1" applyFill="1" applyBorder="1"/>
    <xf numFmtId="164" fontId="5" fillId="13" borderId="71" xfId="2" applyNumberFormat="1" applyFont="1" applyFill="1" applyBorder="1" applyAlignment="1">
      <alignment horizontal="center"/>
    </xf>
    <xf numFmtId="0" fontId="5" fillId="13" borderId="2" xfId="2" applyFont="1" applyFill="1" applyBorder="1"/>
    <xf numFmtId="0" fontId="5" fillId="2" borderId="93" xfId="2" applyFont="1" applyFill="1" applyBorder="1"/>
    <xf numFmtId="0" fontId="5" fillId="13" borderId="0" xfId="2" applyFont="1" applyFill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164" fontId="8" fillId="0" borderId="0" xfId="2" applyNumberFormat="1" applyFont="1" applyFill="1" applyBorder="1" applyAlignment="1">
      <alignment horizontal="center"/>
    </xf>
    <xf numFmtId="9" fontId="8" fillId="0" borderId="0" xfId="2" applyNumberFormat="1" applyFont="1" applyBorder="1" applyAlignment="1">
      <alignment horizontal="center"/>
    </xf>
    <xf numFmtId="2" fontId="8" fillId="2" borderId="0" xfId="2" applyNumberFormat="1" applyFont="1" applyFill="1" applyBorder="1" applyAlignment="1">
      <alignment horizontal="center"/>
    </xf>
    <xf numFmtId="0" fontId="17" fillId="2" borderId="0" xfId="2" applyFont="1" applyFill="1" applyBorder="1" applyAlignment="1">
      <alignment horizontal="center"/>
    </xf>
    <xf numFmtId="9" fontId="8" fillId="0" borderId="0" xfId="1" applyFont="1" applyFill="1" applyBorder="1" applyAlignment="1">
      <alignment horizontal="center"/>
    </xf>
    <xf numFmtId="166" fontId="8" fillId="0" borderId="0" xfId="1" applyNumberFormat="1" applyFont="1" applyFill="1" applyBorder="1" applyAlignment="1">
      <alignment horizontal="center"/>
    </xf>
    <xf numFmtId="0" fontId="5" fillId="8" borderId="0" xfId="2" applyFont="1" applyFill="1" applyBorder="1" applyAlignment="1">
      <alignment horizontal="center"/>
    </xf>
    <xf numFmtId="164" fontId="5" fillId="0" borderId="0" xfId="4" applyNumberFormat="1" applyFont="1" applyBorder="1" applyAlignment="1">
      <alignment horizontal="center"/>
    </xf>
    <xf numFmtId="164" fontId="30" fillId="2" borderId="0" xfId="4" applyNumberFormat="1" applyFont="1" applyFill="1" applyBorder="1" applyAlignment="1">
      <alignment horizontal="center"/>
    </xf>
    <xf numFmtId="164" fontId="30" fillId="0" borderId="0" xfId="4" applyNumberFormat="1" applyFont="1" applyFill="1" applyBorder="1" applyAlignment="1">
      <alignment horizontal="center"/>
    </xf>
    <xf numFmtId="164" fontId="8" fillId="8" borderId="0" xfId="4" applyNumberFormat="1" applyFont="1" applyFill="1" applyBorder="1" applyAlignment="1">
      <alignment horizontal="center"/>
    </xf>
    <xf numFmtId="0" fontId="8" fillId="8" borderId="0" xfId="2" applyFont="1" applyFill="1" applyBorder="1" applyAlignment="1">
      <alignment horizontal="center"/>
    </xf>
    <xf numFmtId="164" fontId="5" fillId="2" borderId="0" xfId="4" applyNumberFormat="1" applyFont="1" applyFill="1" applyBorder="1" applyAlignment="1">
      <alignment horizontal="center"/>
    </xf>
    <xf numFmtId="0" fontId="8" fillId="3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164" fontId="8" fillId="2" borderId="0" xfId="2" applyNumberFormat="1" applyFont="1" applyFill="1" applyBorder="1" applyAlignment="1">
      <alignment horizontal="center"/>
    </xf>
    <xf numFmtId="164" fontId="5" fillId="2" borderId="0" xfId="2" applyNumberFormat="1" applyFont="1" applyFill="1" applyBorder="1" applyAlignment="1">
      <alignment horizontal="center"/>
    </xf>
    <xf numFmtId="165" fontId="5" fillId="2" borderId="0" xfId="2" applyNumberFormat="1" applyFont="1" applyFill="1" applyBorder="1" applyAlignment="1">
      <alignment horizontal="center"/>
    </xf>
    <xf numFmtId="165" fontId="8" fillId="2" borderId="0" xfId="2" applyNumberFormat="1" applyFont="1" applyFill="1" applyBorder="1" applyAlignment="1">
      <alignment horizontal="center"/>
    </xf>
    <xf numFmtId="5" fontId="5" fillId="2" borderId="0" xfId="2" applyNumberFormat="1" applyFont="1" applyFill="1" applyBorder="1" applyAlignment="1">
      <alignment horizontal="center"/>
    </xf>
    <xf numFmtId="5" fontId="8" fillId="2" borderId="0" xfId="2" applyNumberFormat="1" applyFont="1" applyFill="1" applyBorder="1" applyAlignment="1">
      <alignment horizontal="center"/>
    </xf>
    <xf numFmtId="166" fontId="5" fillId="2" borderId="0" xfId="2" applyNumberFormat="1" applyFont="1" applyFill="1" applyBorder="1" applyAlignment="1">
      <alignment horizontal="center"/>
    </xf>
    <xf numFmtId="38" fontId="5" fillId="2" borderId="19" xfId="2" applyNumberFormat="1" applyFont="1" applyFill="1" applyBorder="1" applyAlignment="1">
      <alignment horizontal="center"/>
    </xf>
    <xf numFmtId="0" fontId="5" fillId="5" borderId="0" xfId="2" applyFont="1" applyFill="1" applyBorder="1" applyAlignment="1">
      <alignment horizontal="center"/>
    </xf>
    <xf numFmtId="0" fontId="5" fillId="5" borderId="61" xfId="2" applyFont="1" applyFill="1" applyBorder="1" applyAlignment="1">
      <alignment horizontal="center"/>
    </xf>
    <xf numFmtId="0" fontId="5" fillId="5" borderId="63" xfId="2" applyFont="1" applyFill="1" applyBorder="1" applyAlignment="1">
      <alignment horizontal="center"/>
    </xf>
    <xf numFmtId="0" fontId="5" fillId="5" borderId="64" xfId="2" applyFont="1" applyFill="1" applyBorder="1" applyAlignment="1">
      <alignment horizontal="center"/>
    </xf>
    <xf numFmtId="1" fontId="8" fillId="5" borderId="0" xfId="2" applyNumberFormat="1" applyFont="1" applyFill="1" applyBorder="1" applyAlignment="1">
      <alignment horizontal="center"/>
    </xf>
    <xf numFmtId="1" fontId="8" fillId="5" borderId="61" xfId="2" applyNumberFormat="1" applyFont="1" applyFill="1" applyBorder="1" applyAlignment="1">
      <alignment horizontal="center"/>
    </xf>
    <xf numFmtId="0" fontId="8" fillId="5" borderId="62" xfId="2" applyFont="1" applyFill="1" applyBorder="1" applyAlignment="1">
      <alignment horizontal="center"/>
    </xf>
    <xf numFmtId="0" fontId="5" fillId="5" borderId="62" xfId="2" applyFont="1" applyFill="1" applyBorder="1" applyAlignment="1">
      <alignment horizontal="center"/>
    </xf>
    <xf numFmtId="1" fontId="8" fillId="5" borderId="62" xfId="2" applyNumberFormat="1" applyFont="1" applyFill="1" applyBorder="1" applyAlignment="1">
      <alignment horizontal="center"/>
    </xf>
    <xf numFmtId="0" fontId="5" fillId="5" borderId="68" xfId="2" applyFont="1" applyFill="1" applyBorder="1" applyAlignment="1">
      <alignment horizontal="center"/>
    </xf>
    <xf numFmtId="0" fontId="5" fillId="5" borderId="69" xfId="2" applyFont="1" applyFill="1" applyBorder="1" applyAlignment="1">
      <alignment horizontal="center"/>
    </xf>
    <xf numFmtId="0" fontId="5" fillId="5" borderId="70" xfId="2" applyFont="1" applyFill="1" applyBorder="1" applyAlignment="1">
      <alignment horizontal="center"/>
    </xf>
    <xf numFmtId="1" fontId="5" fillId="5" borderId="0" xfId="2" applyNumberFormat="1" applyFont="1" applyFill="1" applyBorder="1" applyAlignment="1">
      <alignment horizontal="center"/>
    </xf>
    <xf numFmtId="1" fontId="5" fillId="5" borderId="61" xfId="2" applyNumberFormat="1" applyFont="1" applyFill="1" applyBorder="1" applyAlignment="1">
      <alignment horizontal="center"/>
    </xf>
    <xf numFmtId="9" fontId="8" fillId="5" borderId="61" xfId="2" applyNumberFormat="1" applyFont="1" applyFill="1" applyBorder="1" applyAlignment="1">
      <alignment horizontal="left"/>
    </xf>
    <xf numFmtId="9" fontId="8" fillId="5" borderId="69" xfId="2" applyNumberFormat="1" applyFont="1" applyFill="1" applyBorder="1" applyAlignment="1">
      <alignment horizontal="left"/>
    </xf>
    <xf numFmtId="9" fontId="8" fillId="5" borderId="15" xfId="2" applyNumberFormat="1" applyFont="1" applyFill="1" applyBorder="1" applyAlignment="1">
      <alignment horizontal="left"/>
    </xf>
    <xf numFmtId="9" fontId="8" fillId="5" borderId="9" xfId="2" applyNumberFormat="1" applyFont="1" applyFill="1" applyBorder="1" applyAlignment="1">
      <alignment horizontal="left"/>
    </xf>
    <xf numFmtId="0" fontId="20" fillId="5" borderId="0" xfId="2" applyFont="1" applyFill="1" applyAlignment="1">
      <alignment horizontal="center"/>
    </xf>
    <xf numFmtId="0" fontId="16" fillId="5" borderId="0" xfId="2" applyFont="1" applyFill="1" applyAlignment="1">
      <alignment horizontal="center"/>
    </xf>
    <xf numFmtId="2" fontId="16" fillId="5" borderId="0" xfId="2" applyNumberFormat="1" applyFont="1" applyFill="1" applyAlignment="1">
      <alignment horizontal="center"/>
    </xf>
    <xf numFmtId="0" fontId="17" fillId="5" borderId="0" xfId="2" applyFont="1" applyFill="1" applyAlignment="1">
      <alignment horizontal="left"/>
    </xf>
    <xf numFmtId="9" fontId="8" fillId="5" borderId="61" xfId="2" applyNumberFormat="1" applyFont="1" applyFill="1" applyBorder="1" applyAlignment="1">
      <alignment horizontal="center"/>
    </xf>
    <xf numFmtId="9" fontId="8" fillId="5" borderId="15" xfId="2" applyNumberFormat="1" applyFont="1" applyFill="1" applyBorder="1" applyAlignment="1">
      <alignment horizontal="center"/>
    </xf>
    <xf numFmtId="0" fontId="7" fillId="5" borderId="0" xfId="2" applyFont="1" applyFill="1"/>
    <xf numFmtId="2" fontId="17" fillId="5" borderId="0" xfId="2" applyNumberFormat="1" applyFont="1" applyFill="1" applyAlignment="1">
      <alignment horizontal="left"/>
    </xf>
    <xf numFmtId="168" fontId="5" fillId="2" borderId="64" xfId="2" applyNumberFormat="1" applyFont="1" applyFill="1" applyBorder="1" applyAlignment="1">
      <alignment horizontal="center" wrapText="1"/>
    </xf>
    <xf numFmtId="0" fontId="5" fillId="5" borderId="85" xfId="2" applyFont="1" applyFill="1" applyBorder="1" applyAlignment="1">
      <alignment vertical="top" wrapText="1"/>
    </xf>
    <xf numFmtId="0" fontId="5" fillId="5" borderId="61" xfId="2" applyFont="1" applyFill="1" applyBorder="1" applyAlignment="1">
      <alignment horizontal="center" vertical="top" wrapText="1"/>
    </xf>
    <xf numFmtId="169" fontId="28" fillId="0" borderId="0" xfId="2" applyNumberFormat="1" applyFont="1" applyFill="1" applyBorder="1" applyAlignment="1">
      <alignment horizontal="left"/>
    </xf>
    <xf numFmtId="169" fontId="28" fillId="0" borderId="0" xfId="2" applyNumberFormat="1" applyFont="1" applyFill="1" applyBorder="1" applyAlignment="1">
      <alignment horizontal="center"/>
    </xf>
    <xf numFmtId="0" fontId="5" fillId="0" borderId="68" xfId="2" applyFont="1" applyBorder="1" applyAlignment="1">
      <alignment horizontal="center" vertical="center" wrapText="1"/>
    </xf>
    <xf numFmtId="164" fontId="5" fillId="0" borderId="9" xfId="1" applyNumberFormat="1" applyFont="1" applyBorder="1" applyAlignment="1">
      <alignment horizontal="center" vertical="center"/>
    </xf>
    <xf numFmtId="1" fontId="5" fillId="5" borderId="0" xfId="1" applyNumberFormat="1" applyFont="1" applyFill="1" applyBorder="1" applyAlignment="1">
      <alignment horizontal="center"/>
    </xf>
    <xf numFmtId="1" fontId="5" fillId="5" borderId="68" xfId="1" applyNumberFormat="1" applyFont="1" applyFill="1" applyBorder="1" applyAlignment="1">
      <alignment horizontal="center"/>
    </xf>
    <xf numFmtId="0" fontId="5" fillId="5" borderId="0" xfId="2" applyNumberFormat="1" applyFont="1" applyFill="1" applyAlignment="1">
      <alignment horizontal="center"/>
    </xf>
    <xf numFmtId="0" fontId="5" fillId="5" borderId="0" xfId="2" applyNumberFormat="1" applyFont="1" applyFill="1" applyBorder="1" applyAlignment="1">
      <alignment horizontal="center"/>
    </xf>
    <xf numFmtId="0" fontId="5" fillId="5" borderId="68" xfId="2" applyFont="1" applyFill="1" applyBorder="1" applyAlignment="1">
      <alignment horizontal="center" vertical="center" wrapText="1"/>
    </xf>
    <xf numFmtId="0" fontId="5" fillId="5" borderId="52" xfId="2" applyFont="1" applyFill="1" applyBorder="1" applyAlignment="1">
      <alignment horizontal="center"/>
    </xf>
    <xf numFmtId="0" fontId="5" fillId="5" borderId="30" xfId="2" applyNumberFormat="1" applyFont="1" applyFill="1" applyBorder="1" applyAlignment="1">
      <alignment horizontal="center"/>
    </xf>
    <xf numFmtId="0" fontId="30" fillId="5" borderId="96" xfId="2" applyNumberFormat="1" applyFont="1" applyFill="1" applyBorder="1" applyAlignment="1">
      <alignment horizontal="center"/>
    </xf>
    <xf numFmtId="0" fontId="31" fillId="5" borderId="101" xfId="2" applyNumberFormat="1" applyFont="1" applyFill="1" applyBorder="1" applyAlignment="1">
      <alignment horizontal="center"/>
    </xf>
    <xf numFmtId="0" fontId="5" fillId="5" borderId="120" xfId="2" applyFont="1" applyFill="1" applyBorder="1" applyAlignment="1">
      <alignment horizontal="center"/>
    </xf>
    <xf numFmtId="164" fontId="5" fillId="2" borderId="88" xfId="1" applyNumberFormat="1" applyFont="1" applyFill="1" applyBorder="1" applyAlignment="1">
      <alignment horizontal="center"/>
    </xf>
    <xf numFmtId="168" fontId="5" fillId="0" borderId="31" xfId="2" applyNumberFormat="1" applyFont="1" applyFill="1" applyBorder="1" applyAlignment="1">
      <alignment horizontal="center"/>
    </xf>
    <xf numFmtId="0" fontId="32" fillId="11" borderId="112" xfId="2" applyFont="1" applyFill="1" applyBorder="1" applyAlignment="1">
      <alignment horizontal="center" vertical="center" shrinkToFit="1"/>
    </xf>
    <xf numFmtId="0" fontId="32" fillId="11" borderId="114" xfId="2" applyFont="1" applyFill="1" applyBorder="1" applyAlignment="1">
      <alignment horizontal="center" vertical="center" shrinkToFit="1"/>
    </xf>
    <xf numFmtId="0" fontId="32" fillId="11" borderId="115" xfId="2" applyFont="1" applyFill="1" applyBorder="1" applyAlignment="1">
      <alignment horizontal="center" vertical="center" shrinkToFit="1"/>
    </xf>
    <xf numFmtId="0" fontId="32" fillId="11" borderId="31" xfId="2" applyFont="1" applyFill="1" applyBorder="1" applyAlignment="1">
      <alignment horizontal="center" vertical="center" shrinkToFit="1"/>
    </xf>
    <xf numFmtId="0" fontId="32" fillId="11" borderId="117" xfId="2" applyFont="1" applyFill="1" applyBorder="1" applyAlignment="1">
      <alignment horizontal="center" vertical="center" shrinkToFit="1"/>
    </xf>
    <xf numFmtId="0" fontId="32" fillId="11" borderId="119" xfId="2" applyFont="1" applyFill="1" applyBorder="1" applyAlignment="1">
      <alignment horizontal="center" vertical="center" shrinkToFit="1"/>
    </xf>
    <xf numFmtId="0" fontId="5" fillId="0" borderId="14" xfId="2" applyFont="1" applyBorder="1" applyAlignment="1"/>
    <xf numFmtId="0" fontId="5" fillId="0" borderId="0" xfId="2" applyFont="1" applyBorder="1" applyAlignment="1"/>
    <xf numFmtId="0" fontId="5" fillId="0" borderId="73" xfId="2" applyFont="1" applyFill="1" applyBorder="1" applyAlignment="1"/>
    <xf numFmtId="0" fontId="5" fillId="0" borderId="41" xfId="2" applyFont="1" applyFill="1" applyBorder="1" applyAlignment="1"/>
    <xf numFmtId="3" fontId="8" fillId="0" borderId="0" xfId="2" applyNumberFormat="1" applyFont="1" applyFill="1" applyBorder="1" applyAlignment="1">
      <alignment horizontal="center"/>
    </xf>
    <xf numFmtId="38" fontId="5" fillId="0" borderId="0" xfId="2" applyNumberFormat="1" applyFont="1" applyFill="1" applyBorder="1" applyAlignment="1">
      <alignment horizontal="center"/>
    </xf>
    <xf numFmtId="9" fontId="8" fillId="0" borderId="0" xfId="2" applyNumberFormat="1" applyFont="1" applyFill="1" applyBorder="1" applyAlignment="1">
      <alignment horizontal="center"/>
    </xf>
    <xf numFmtId="2" fontId="5" fillId="0" borderId="0" xfId="2" applyNumberFormat="1" applyFont="1" applyFill="1" applyBorder="1" applyAlignment="1">
      <alignment horizontal="center"/>
    </xf>
    <xf numFmtId="9" fontId="5" fillId="0" borderId="0" xfId="2" applyNumberFormat="1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165" fontId="8" fillId="0" borderId="0" xfId="2" applyNumberFormat="1" applyFont="1" applyFill="1" applyBorder="1" applyAlignment="1">
      <alignment horizontal="center"/>
    </xf>
    <xf numFmtId="5" fontId="5" fillId="0" borderId="0" xfId="2" applyNumberFormat="1" applyFont="1" applyFill="1" applyBorder="1" applyAlignment="1">
      <alignment horizontal="center"/>
    </xf>
    <xf numFmtId="5" fontId="8" fillId="0" borderId="0" xfId="2" applyNumberFormat="1" applyFont="1" applyFill="1" applyBorder="1" applyAlignment="1">
      <alignment horizontal="center"/>
    </xf>
    <xf numFmtId="166" fontId="5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>
      <alignment horizontal="center"/>
    </xf>
    <xf numFmtId="0" fontId="5" fillId="5" borderId="14" xfId="2" applyNumberFormat="1" applyFont="1" applyFill="1" applyBorder="1" applyAlignment="1">
      <alignment horizontal="center"/>
    </xf>
    <xf numFmtId="0" fontId="16" fillId="5" borderId="30" xfId="2" applyFont="1" applyFill="1" applyBorder="1" applyAlignment="1">
      <alignment horizontal="center"/>
    </xf>
    <xf numFmtId="0" fontId="8" fillId="5" borderId="95" xfId="2" applyFont="1" applyFill="1" applyBorder="1" applyAlignment="1">
      <alignment horizontal="center"/>
    </xf>
    <xf numFmtId="0" fontId="5" fillId="5" borderId="104" xfId="2" applyFont="1" applyFill="1" applyBorder="1" applyAlignment="1">
      <alignment horizontal="center"/>
    </xf>
    <xf numFmtId="0" fontId="5" fillId="5" borderId="30" xfId="2" applyFont="1" applyFill="1" applyBorder="1" applyAlignment="1">
      <alignment horizontal="center"/>
    </xf>
    <xf numFmtId="0" fontId="16" fillId="5" borderId="96" xfId="2" applyFont="1" applyFill="1" applyBorder="1" applyAlignment="1">
      <alignment horizontal="center"/>
    </xf>
    <xf numFmtId="1" fontId="8" fillId="0" borderId="14" xfId="2" applyNumberFormat="1" applyFont="1" applyBorder="1"/>
    <xf numFmtId="0" fontId="4" fillId="5" borderId="0" xfId="2" applyFont="1" applyFill="1" applyAlignment="1"/>
    <xf numFmtId="0" fontId="6" fillId="5" borderId="0" xfId="2" applyFont="1" applyFill="1" applyAlignment="1">
      <alignment horizontal="center"/>
    </xf>
    <xf numFmtId="0" fontId="8" fillId="5" borderId="13" xfId="2" applyFont="1" applyFill="1" applyBorder="1" applyAlignment="1">
      <alignment horizontal="center"/>
    </xf>
    <xf numFmtId="0" fontId="8" fillId="5" borderId="0" xfId="2" applyFont="1" applyFill="1" applyBorder="1" applyAlignment="1">
      <alignment horizontal="center"/>
    </xf>
    <xf numFmtId="3" fontId="5" fillId="5" borderId="0" xfId="2" applyNumberFormat="1" applyFont="1" applyFill="1" applyBorder="1" applyAlignment="1">
      <alignment horizontal="center"/>
    </xf>
    <xf numFmtId="3" fontId="8" fillId="5" borderId="0" xfId="2" applyNumberFormat="1" applyFont="1" applyFill="1" applyBorder="1" applyAlignment="1">
      <alignment horizontal="center"/>
    </xf>
    <xf numFmtId="38" fontId="5" fillId="5" borderId="0" xfId="2" applyNumberFormat="1" applyFont="1" applyFill="1" applyBorder="1" applyAlignment="1">
      <alignment horizontal="center"/>
    </xf>
    <xf numFmtId="9" fontId="8" fillId="5" borderId="0" xfId="2" applyNumberFormat="1" applyFont="1" applyFill="1" applyBorder="1" applyAlignment="1">
      <alignment horizontal="center"/>
    </xf>
    <xf numFmtId="2" fontId="5" fillId="5" borderId="0" xfId="2" applyNumberFormat="1" applyFont="1" applyFill="1" applyBorder="1" applyAlignment="1">
      <alignment horizontal="center"/>
    </xf>
    <xf numFmtId="9" fontId="5" fillId="5" borderId="0" xfId="2" applyNumberFormat="1" applyFont="1" applyFill="1" applyBorder="1" applyAlignment="1">
      <alignment horizontal="center"/>
    </xf>
    <xf numFmtId="164" fontId="8" fillId="5" borderId="0" xfId="2" applyNumberFormat="1" applyFont="1" applyFill="1" applyBorder="1" applyAlignment="1">
      <alignment horizontal="center"/>
    </xf>
    <xf numFmtId="164" fontId="5" fillId="5" borderId="0" xfId="2" applyNumberFormat="1" applyFont="1" applyFill="1" applyBorder="1" applyAlignment="1">
      <alignment horizontal="center"/>
    </xf>
    <xf numFmtId="165" fontId="5" fillId="5" borderId="0" xfId="2" applyNumberFormat="1" applyFont="1" applyFill="1" applyBorder="1" applyAlignment="1">
      <alignment horizontal="center"/>
    </xf>
    <xf numFmtId="165" fontId="8" fillId="5" borderId="0" xfId="2" applyNumberFormat="1" applyFont="1" applyFill="1" applyBorder="1" applyAlignment="1">
      <alignment horizontal="center"/>
    </xf>
    <xf numFmtId="5" fontId="5" fillId="5" borderId="0" xfId="2" applyNumberFormat="1" applyFont="1" applyFill="1" applyBorder="1" applyAlignment="1">
      <alignment horizontal="center"/>
    </xf>
    <xf numFmtId="5" fontId="8" fillId="5" borderId="0" xfId="2" applyNumberFormat="1" applyFont="1" applyFill="1" applyBorder="1" applyAlignment="1">
      <alignment horizontal="center"/>
    </xf>
    <xf numFmtId="166" fontId="5" fillId="5" borderId="0" xfId="2" applyNumberFormat="1" applyFont="1" applyFill="1" applyBorder="1" applyAlignment="1">
      <alignment horizontal="center"/>
    </xf>
    <xf numFmtId="0" fontId="8" fillId="5" borderId="0" xfId="2" applyFont="1" applyFill="1" applyAlignment="1">
      <alignment horizontal="center"/>
    </xf>
    <xf numFmtId="0" fontId="8" fillId="0" borderId="5" xfId="2" applyFont="1" applyFill="1" applyBorder="1" applyAlignment="1">
      <alignment horizontal="center"/>
    </xf>
    <xf numFmtId="0" fontId="8" fillId="0" borderId="7" xfId="2" applyFont="1" applyFill="1" applyBorder="1" applyAlignment="1">
      <alignment horizontal="center"/>
    </xf>
    <xf numFmtId="0" fontId="8" fillId="0" borderId="5" xfId="2" applyFont="1" applyFill="1" applyBorder="1" applyAlignment="1">
      <alignment horizontal="center" vertical="center" shrinkToFit="1"/>
    </xf>
    <xf numFmtId="0" fontId="8" fillId="0" borderId="6" xfId="2" applyFont="1" applyFill="1" applyBorder="1" applyAlignment="1">
      <alignment horizontal="center" vertical="center" shrinkToFit="1"/>
    </xf>
    <xf numFmtId="0" fontId="8" fillId="0" borderId="7" xfId="2" applyFont="1" applyFill="1" applyBorder="1" applyAlignment="1">
      <alignment horizontal="center" vertical="center" shrinkToFit="1"/>
    </xf>
    <xf numFmtId="0" fontId="4" fillId="0" borderId="0" xfId="2" applyFont="1" applyAlignment="1">
      <alignment horizontal="center"/>
    </xf>
    <xf numFmtId="0" fontId="15" fillId="0" borderId="0" xfId="2" applyFont="1" applyFill="1" applyBorder="1" applyAlignment="1">
      <alignment vertical="top" wrapText="1"/>
    </xf>
    <xf numFmtId="0" fontId="5" fillId="0" borderId="0" xfId="2" applyFont="1" applyFill="1" applyAlignment="1">
      <alignment wrapText="1"/>
    </xf>
    <xf numFmtId="164" fontId="8" fillId="8" borderId="3" xfId="2" applyNumberFormat="1" applyFont="1" applyFill="1" applyBorder="1" applyAlignment="1">
      <alignment horizontal="center"/>
    </xf>
    <xf numFmtId="164" fontId="8" fillId="8" borderId="59" xfId="2" applyNumberFormat="1" applyFont="1" applyFill="1" applyBorder="1" applyAlignment="1">
      <alignment horizontal="center"/>
    </xf>
    <xf numFmtId="0" fontId="8" fillId="3" borderId="51" xfId="2" applyFont="1" applyFill="1" applyBorder="1" applyAlignment="1">
      <alignment horizontal="center"/>
    </xf>
    <xf numFmtId="0" fontId="8" fillId="3" borderId="52" xfId="2" applyFont="1" applyFill="1" applyBorder="1" applyAlignment="1">
      <alignment horizontal="center"/>
    </xf>
    <xf numFmtId="0" fontId="8" fillId="3" borderId="53" xfId="2" applyFont="1" applyFill="1" applyBorder="1" applyAlignment="1">
      <alignment horizontal="center"/>
    </xf>
    <xf numFmtId="0" fontId="8" fillId="3" borderId="114" xfId="2" applyFont="1" applyFill="1" applyBorder="1" applyAlignment="1">
      <alignment horizontal="center"/>
    </xf>
    <xf numFmtId="0" fontId="8" fillId="3" borderId="0" xfId="2" applyFont="1" applyFill="1" applyBorder="1" applyAlignment="1">
      <alignment horizontal="center"/>
    </xf>
  </cellXfs>
  <cellStyles count="5">
    <cellStyle name="Normal" xfId="0" builtinId="0"/>
    <cellStyle name="Normal 5" xfId="2"/>
    <cellStyle name="Percent" xfId="1" builtinId="5"/>
    <cellStyle name="Percent 2" xfId="4"/>
    <cellStyle name="Percent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100">
                <a:latin typeface="+mn-lt"/>
              </a:rPr>
              <a:t># Applicants for Admission</a:t>
            </a:r>
          </a:p>
        </c:rich>
      </c:tx>
      <c:layout>
        <c:manualLayout>
          <c:xMode val="edge"/>
          <c:yMode val="edge"/>
          <c:x val="0.26190557825841398"/>
          <c:y val="3.74147723060042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000363305557"/>
          <c:y val="0.13119296528611901"/>
          <c:w val="0.86012154750728897"/>
          <c:h val="0.76336758752613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'[1]HistoricalSummaryExpanded 12'!$B$17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'[1]HistoricalSummaryExpanded 12'!$C$4:$S$4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cat>
          <c:val>
            <c:numRef>
              <c:f>'[1]HistoricalSummaryExpanded 12'!$C$17:$S$17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3-4C0B-B4A0-88B3A9542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66432224"/>
        <c:axId val="-1994755568"/>
      </c:barChart>
      <c:catAx>
        <c:axId val="-196643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9475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4755568"/>
        <c:scaling>
          <c:orientation val="minMax"/>
          <c:max val="2600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6643222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>
                <a:latin typeface="+mn-lt"/>
              </a:rPr>
              <a:t>Mean Composite SAT of Entering Freshmen</a:t>
            </a:r>
          </a:p>
        </c:rich>
      </c:tx>
      <c:layout>
        <c:manualLayout>
          <c:xMode val="edge"/>
          <c:yMode val="edge"/>
          <c:x val="0.21496223033096501"/>
          <c:y val="3.6789444943543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5354806423999"/>
          <c:y val="0.18295125860945199"/>
          <c:w val="0.83084778948953897"/>
          <c:h val="0.70326058236009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'[1]HistoricalSummaryExpanded 12'!$B$26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'[1]HistoricalSummaryExpanded 12'!$C$4:$S$4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cat>
          <c:val>
            <c:numRef>
              <c:f>'[1]HistoricalSummaryExpanded 12'!$C$26:$S$26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2-4BD9-9CA2-7BDA32DCB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1946224"/>
        <c:axId val="-2001943088"/>
      </c:barChart>
      <c:catAx>
        <c:axId val="-200194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0194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1943088"/>
        <c:scaling>
          <c:orientation val="minMax"/>
          <c:min val="1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0194622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100">
                <a:latin typeface="+mn-lt"/>
              </a:rPr>
              <a:t>Selectivity</a:t>
            </a:r>
            <a:r>
              <a:rPr lang="en-US" baseline="0">
                <a:latin typeface="+mn-lt"/>
              </a:rPr>
              <a:t> and Yield</a:t>
            </a:r>
            <a:endParaRPr lang="en-US">
              <a:latin typeface="+mn-lt"/>
            </a:endParaRPr>
          </a:p>
        </c:rich>
      </c:tx>
      <c:layout>
        <c:manualLayout>
          <c:xMode val="edge"/>
          <c:yMode val="edge"/>
          <c:x val="0.34814840737500602"/>
          <c:y val="3.728838120587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98794605504"/>
          <c:y val="0.12599435274672399"/>
          <c:w val="0.84444648062905303"/>
          <c:h val="0.618682766694983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'[1]HistoricalSummaryExpanded 12'!$B$19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'[1]HistoricalSummaryExpanded 12'!$C$4:$S$4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cat>
          <c:val>
            <c:numRef>
              <c:f>'[1]HistoricalSummaryExpanded 12'!$C$19:$S$19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D-45D4-BE47-82497C24804A}"/>
            </c:ext>
          </c:extLst>
        </c:ser>
        <c:ser>
          <c:idx val="1"/>
          <c:order val="1"/>
          <c:tx>
            <c:strRef>
              <c:f>'[1]HistoricalSummaryExpanded 12'!$B$21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numRef>
              <c:f>'[1]HistoricalSummaryExpanded 12'!$C$4:$S$4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cat>
          <c:val>
            <c:numRef>
              <c:f>'[1]HistoricalSummaryExpanded 12'!$C$21:$S$21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6D-45D4-BE47-82497C248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80630832"/>
        <c:axId val="-1980088352"/>
      </c:barChart>
      <c:catAx>
        <c:axId val="-198063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8008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80088352"/>
        <c:scaling>
          <c:orientation val="minMax"/>
          <c:max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80630832"/>
        <c:crosses val="autoZero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2418954387501"/>
          <c:y val="0.84105941302791698"/>
          <c:w val="0.71513749970442897"/>
          <c:h val="0.11353521986222299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100">
                <a:latin typeface="+mn-lt"/>
              </a:rPr>
              <a:t>Average GPA of Entering Freshmen</a:t>
            </a:r>
          </a:p>
        </c:rich>
      </c:tx>
      <c:layout>
        <c:manualLayout>
          <c:xMode val="edge"/>
          <c:yMode val="edge"/>
          <c:x val="0.19404272939164999"/>
          <c:y val="3.6666928261874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944301208464"/>
          <c:y val="0.14333379991471301"/>
          <c:w val="0.83776052544399204"/>
          <c:h val="0.74666909723013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'[1]HistoricalSummaryExpanded 12'!$B$27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'[1]HistoricalSummaryExpanded 12'!$C$4:$S$4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cat>
          <c:val>
            <c:numRef>
              <c:f>'[1]HistoricalSummaryExpanded 12'!$C$27:$S$27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0-4F32-A583-06D0CBEE4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65806416"/>
        <c:axId val="-1985114448"/>
      </c:barChart>
      <c:catAx>
        <c:axId val="-196580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8511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85114448"/>
        <c:scaling>
          <c:orientation val="minMax"/>
          <c:max val="4"/>
          <c:min val="3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658064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 i="1"/>
              <a:t>Admissions Office Activity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'[1]HistoricalSummaryExpanded 12'!$B$6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val>
            <c:numRef>
              <c:f>'[1]HistoricalSummaryExpanded 12'!$C$6:$S$6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1-4E9A-8BE7-D8CF4633177B}"/>
            </c:ext>
          </c:extLst>
        </c:ser>
        <c:ser>
          <c:idx val="1"/>
          <c:order val="1"/>
          <c:tx>
            <c:strRef>
              <c:f>'[1]HistoricalSummaryExpanded 12'!$B$7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val>
            <c:numRef>
              <c:f>'[1]HistoricalSummaryExpanded 12'!$C$7:$S$7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1-4E9A-8BE7-D8CF46331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1053152"/>
        <c:axId val="-1965820160"/>
      </c:barChart>
      <c:catAx>
        <c:axId val="-199105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965820160"/>
        <c:crosses val="autoZero"/>
        <c:auto val="1"/>
        <c:lblAlgn val="ctr"/>
        <c:lblOffset val="100"/>
        <c:noMultiLvlLbl val="0"/>
      </c:catAx>
      <c:valAx>
        <c:axId val="-1965820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9910531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2" l="0.70000000000000095" r="0.70000000000000095" t="0.750000000000002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 i="1"/>
              <a:t>Targeted Recruitment Programs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'[1]HistoricalSummaryExpanded 12'!$B$8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numRef>
              <c:f>'[1]HistoricalSummaryExpanded 12'!$C$4:$S$4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cat>
          <c:val>
            <c:numRef>
              <c:f>'[1]HistoricalSummaryExpanded 12'!$C$8:$S$8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E-4AF1-85C7-8FDC9229A2E0}"/>
            </c:ext>
          </c:extLst>
        </c:ser>
        <c:ser>
          <c:idx val="1"/>
          <c:order val="1"/>
          <c:tx>
            <c:strRef>
              <c:f>'[1]HistoricalSummaryExpanded 12'!$B$9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numRef>
              <c:f>'[1]HistoricalSummaryExpanded 12'!$C$4:$S$4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cat>
          <c:val>
            <c:numRef>
              <c:f>'[1]HistoricalSummaryExpanded 12'!$C$9:$S$9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5E-4AF1-85C7-8FDC9229A2E0}"/>
            </c:ext>
          </c:extLst>
        </c:ser>
        <c:ser>
          <c:idx val="2"/>
          <c:order val="2"/>
          <c:tx>
            <c:strRef>
              <c:f>'[1]HistoricalSummaryExpanded 12'!$B$12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numRef>
              <c:f>'[1]HistoricalSummaryExpanded 12'!$C$4:$S$4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cat>
          <c:val>
            <c:numRef>
              <c:f>'[1]HistoricalSummaryExpanded 12'!$C$12:$S$12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5E-4AF1-85C7-8FDC9229A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4465104"/>
        <c:axId val="-1987122944"/>
      </c:barChart>
      <c:catAx>
        <c:axId val="-199446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987122944"/>
        <c:crosses val="autoZero"/>
        <c:auto val="1"/>
        <c:lblAlgn val="ctr"/>
        <c:lblOffset val="100"/>
        <c:noMultiLvlLbl val="0"/>
      </c:catAx>
      <c:valAx>
        <c:axId val="-198712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9944651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2" l="0.70000000000000095" r="0.70000000000000095" t="0.750000000000002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>
                <a:latin typeface="+mn-lt"/>
              </a:rPr>
              <a:t>Average Grant</a:t>
            </a:r>
          </a:p>
        </c:rich>
      </c:tx>
      <c:layout>
        <c:manualLayout>
          <c:xMode val="edge"/>
          <c:yMode val="edge"/>
          <c:x val="0.37349881569681798"/>
          <c:y val="3.6789444943543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96075795403601"/>
          <c:y val="0.15163134809491099"/>
          <c:w val="0.83084778948953897"/>
          <c:h val="0.64956930719230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'[1]HistoricalSummaryExpanded 12'!$B$91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'[1]HistoricalSummaryExpanded 12'!$C$4:$S$4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cat>
          <c:val>
            <c:numRef>
              <c:f>'[1]HistoricalSummaryExpanded 12'!$C$91:$S$91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9-4271-86F2-CC72ECA90F8C}"/>
            </c:ext>
          </c:extLst>
        </c:ser>
        <c:ser>
          <c:idx val="1"/>
          <c:order val="1"/>
          <c:tx>
            <c:strRef>
              <c:f>'[1]HistoricalSummaryExpanded 12'!$B$92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numRef>
              <c:f>'[1]HistoricalSummaryExpanded 12'!$C$4:$S$4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cat>
          <c:val>
            <c:numRef>
              <c:f>'[1]HistoricalSummaryExpanded 12'!$C$92:$S$92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69-4271-86F2-CC72ECA90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66398048"/>
        <c:axId val="-1987048224"/>
      </c:barChart>
      <c:catAx>
        <c:axId val="-196639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8704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8704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663980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900"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" r="0.750000000000004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100">
                <a:latin typeface="+mn-lt"/>
              </a:rPr>
              <a:t>Financial</a:t>
            </a:r>
            <a:r>
              <a:rPr lang="en-US" sz="1100" baseline="0">
                <a:latin typeface="+mn-lt"/>
              </a:rPr>
              <a:t> Aid for</a:t>
            </a:r>
            <a:r>
              <a:rPr lang="en-US" sz="1100">
                <a:latin typeface="+mn-lt"/>
              </a:rPr>
              <a:t> Entering Freshmen</a:t>
            </a:r>
          </a:p>
        </c:rich>
      </c:tx>
      <c:layout>
        <c:manualLayout>
          <c:xMode val="edge"/>
          <c:yMode val="edge"/>
          <c:x val="0.19404272939164999"/>
          <c:y val="3.6666928261874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944301208464"/>
          <c:y val="0.14333379991471301"/>
          <c:w val="0.83776052544399204"/>
          <c:h val="0.64921617355970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'[1]HistoricalSummaryExpanded 12'!$B$89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'[1]HistoricalSummaryExpanded 12'!$C$4:$S$4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cat>
          <c:val>
            <c:numRef>
              <c:f>'[1]HistoricalSummaryExpanded 12'!$C$89:$S$89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E-4A7E-9154-EFB6F3E84807}"/>
            </c:ext>
          </c:extLst>
        </c:ser>
        <c:ser>
          <c:idx val="1"/>
          <c:order val="1"/>
          <c:tx>
            <c:strRef>
              <c:f>'[1]HistoricalSummaryExpanded 12'!$B$90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numRef>
              <c:f>'[1]HistoricalSummaryExpanded 12'!$C$4:$S$4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cat>
          <c:val>
            <c:numRef>
              <c:f>'[1]HistoricalSummaryExpanded 12'!$C$90:$S$90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7E-4A7E-9154-EFB6F3E8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80838400"/>
        <c:axId val="-1979388960"/>
      </c:barChart>
      <c:catAx>
        <c:axId val="-198083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7938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79388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808384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900"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" r="0.75000000000000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132</xdr:row>
      <xdr:rowOff>114301</xdr:rowOff>
    </xdr:from>
    <xdr:to>
      <xdr:col>15</xdr:col>
      <xdr:colOff>114300</xdr:colOff>
      <xdr:row>153</xdr:row>
      <xdr:rowOff>28576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104775</xdr:colOff>
      <xdr:row>153</xdr:row>
      <xdr:rowOff>123825</xdr:rowOff>
    </xdr:from>
    <xdr:to>
      <xdr:col>19</xdr:col>
      <xdr:colOff>19051</xdr:colOff>
      <xdr:row>173</xdr:row>
      <xdr:rowOff>76200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76200</xdr:colOff>
      <xdr:row>132</xdr:row>
      <xdr:rowOff>104775</xdr:rowOff>
    </xdr:from>
    <xdr:to>
      <xdr:col>18</xdr:col>
      <xdr:colOff>742950</xdr:colOff>
      <xdr:row>153</xdr:row>
      <xdr:rowOff>19050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180975</xdr:colOff>
      <xdr:row>153</xdr:row>
      <xdr:rowOff>95250</xdr:rowOff>
    </xdr:from>
    <xdr:to>
      <xdr:col>15</xdr:col>
      <xdr:colOff>123825</xdr:colOff>
      <xdr:row>173</xdr:row>
      <xdr:rowOff>38100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38101</xdr:colOff>
      <xdr:row>105</xdr:row>
      <xdr:rowOff>133349</xdr:rowOff>
    </xdr:from>
    <xdr:to>
      <xdr:col>15</xdr:col>
      <xdr:colOff>142875</xdr:colOff>
      <xdr:row>131</xdr:row>
      <xdr:rowOff>142874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523875</xdr:colOff>
      <xdr:row>105</xdr:row>
      <xdr:rowOff>152400</xdr:rowOff>
    </xdr:from>
    <xdr:to>
      <xdr:col>19</xdr:col>
      <xdr:colOff>238127</xdr:colOff>
      <xdr:row>131</xdr:row>
      <xdr:rowOff>152399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47625</xdr:colOff>
      <xdr:row>174</xdr:row>
      <xdr:rowOff>66675</xdr:rowOff>
    </xdr:from>
    <xdr:to>
      <xdr:col>18</xdr:col>
      <xdr:colOff>714376</xdr:colOff>
      <xdr:row>194</xdr:row>
      <xdr:rowOff>142875</xdr:rowOff>
    </xdr:to>
    <xdr:graphicFrame macro="">
      <xdr:nvGraphicFramePr>
        <xdr:cNvPr id="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200025</xdr:colOff>
      <xdr:row>174</xdr:row>
      <xdr:rowOff>152400</xdr:rowOff>
    </xdr:from>
    <xdr:to>
      <xdr:col>15</xdr:col>
      <xdr:colOff>142875</xdr:colOff>
      <xdr:row>194</xdr:row>
      <xdr:rowOff>104775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nallc/AppData/Local/Microsoft/Windows/Temporary%2520Internet%2520Files/Content.Outlook/DZ270SRB/Freshman%2520Profile%2520Report%25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ummaryExpanded 1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4"/>
  <sheetViews>
    <sheetView view="pageBreakPreview" topLeftCell="A59" zoomScaleSheetLayoutView="100" workbookViewId="0">
      <selection activeCell="A59" sqref="A59"/>
    </sheetView>
  </sheetViews>
  <sheetFormatPr defaultColWidth="9.1328125" defaultRowHeight="13.15" x14ac:dyDescent="0.4"/>
  <cols>
    <col min="1" max="1" width="9.1328125" style="2"/>
    <col min="2" max="2" width="14.265625" style="2" customWidth="1"/>
    <col min="3" max="3" width="10.265625" style="9" customWidth="1"/>
    <col min="4" max="4" width="9.265625" style="9" customWidth="1"/>
    <col min="5" max="5" width="15.3984375" style="9" customWidth="1"/>
    <col min="6" max="6" width="8.73046875" style="179" customWidth="1"/>
    <col min="7" max="7" width="8.86328125" style="2" customWidth="1"/>
    <col min="8" max="8" width="13.265625" style="2" customWidth="1"/>
    <col min="9" max="9" width="9.73046875" style="2" customWidth="1"/>
    <col min="10" max="10" width="12" style="2" customWidth="1"/>
    <col min="11" max="11" width="8.1328125" style="9" customWidth="1"/>
    <col min="12" max="12" width="9.86328125" style="9" customWidth="1"/>
    <col min="13" max="14" width="9.1328125" style="2" customWidth="1"/>
    <col min="15" max="15" width="15.1328125" style="2" customWidth="1"/>
    <col min="16" max="19" width="5.3984375" style="2" customWidth="1"/>
    <col min="20" max="20" width="3.73046875" style="2" customWidth="1"/>
    <col min="21" max="21" width="9.1328125" style="2" customWidth="1"/>
    <col min="22" max="22" width="2.73046875" style="2" customWidth="1"/>
    <col min="23" max="24" width="9.1328125" style="2" customWidth="1"/>
    <col min="25" max="25" width="4.73046875" style="2" customWidth="1"/>
    <col min="26" max="26" width="12.73046875" style="2" customWidth="1"/>
    <col min="27" max="27" width="8.3984375" style="2" customWidth="1"/>
    <col min="28" max="28" width="8" style="2" customWidth="1"/>
    <col min="29" max="29" width="9.3984375" style="2" bestFit="1" customWidth="1"/>
    <col min="30" max="30" width="3.86328125" style="2" customWidth="1"/>
    <col min="31" max="31" width="8" style="2" customWidth="1"/>
    <col min="32" max="32" width="6" style="2" bestFit="1" customWidth="1"/>
    <col min="33" max="33" width="7.73046875" style="2" customWidth="1"/>
    <col min="34" max="16384" width="9.1328125" style="2"/>
  </cols>
  <sheetData>
    <row r="1" spans="2:13" ht="15.75" x14ac:dyDescent="0.5">
      <c r="B1" s="653" t="str">
        <f>"FRESHMAN PROFILE, CLASS OF "&amp;M1</f>
        <v>FRESHMAN PROFILE, CLASS OF 2021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2">
        <v>2021</v>
      </c>
    </row>
    <row r="2" spans="2:13" ht="15.75" x14ac:dyDescent="0.5">
      <c r="B2" s="653" t="str">
        <f>"Freshmen Entering Juniata Fall "&amp;M1-4</f>
        <v>Freshmen Entering Juniata Fall 2017</v>
      </c>
      <c r="C2" s="653"/>
      <c r="D2" s="653"/>
      <c r="E2" s="653"/>
      <c r="F2" s="653"/>
      <c r="G2" s="653"/>
      <c r="H2" s="653"/>
      <c r="I2" s="653"/>
      <c r="J2" s="653"/>
      <c r="K2" s="653"/>
      <c r="L2" s="653"/>
    </row>
    <row r="3" spans="2:13" ht="15.75" x14ac:dyDescent="0.5">
      <c r="C3" s="173"/>
      <c r="D3" s="173"/>
      <c r="E3" s="173"/>
      <c r="F3" s="174"/>
      <c r="G3" s="175"/>
      <c r="H3" s="175"/>
      <c r="I3" s="175"/>
      <c r="J3" s="175"/>
    </row>
    <row r="4" spans="2:13" s="178" customFormat="1" x14ac:dyDescent="0.4">
      <c r="B4" s="176"/>
      <c r="C4" s="176"/>
      <c r="D4" s="176"/>
      <c r="E4" s="176"/>
      <c r="F4" s="176"/>
      <c r="G4" s="176"/>
      <c r="H4" s="176"/>
      <c r="I4" s="176"/>
      <c r="J4" s="177"/>
      <c r="K4" s="176"/>
      <c r="L4" s="176"/>
    </row>
    <row r="5" spans="2:13" ht="13.5" thickBot="1" x14ac:dyDescent="0.45"/>
    <row r="6" spans="2:13" ht="14.25" x14ac:dyDescent="0.45">
      <c r="B6" s="180" t="s">
        <v>91</v>
      </c>
      <c r="C6" s="181"/>
      <c r="D6" s="181"/>
      <c r="E6" s="181"/>
      <c r="F6" s="182"/>
      <c r="H6" s="180" t="s">
        <v>92</v>
      </c>
      <c r="I6" s="181"/>
      <c r="J6" s="183"/>
      <c r="K6" s="181"/>
      <c r="L6" s="184"/>
    </row>
    <row r="7" spans="2:13" x14ac:dyDescent="0.4">
      <c r="B7" s="185" t="s">
        <v>93</v>
      </c>
      <c r="C7" s="186" t="s">
        <v>94</v>
      </c>
      <c r="D7" s="187" t="s">
        <v>95</v>
      </c>
      <c r="E7" s="188" t="s">
        <v>43</v>
      </c>
      <c r="F7" s="189" t="s">
        <v>96</v>
      </c>
      <c r="H7" s="185" t="s">
        <v>93</v>
      </c>
      <c r="I7" s="186" t="s">
        <v>94</v>
      </c>
      <c r="J7" s="187" t="s">
        <v>95</v>
      </c>
      <c r="K7" s="188" t="s">
        <v>43</v>
      </c>
      <c r="L7" s="189" t="s">
        <v>96</v>
      </c>
    </row>
    <row r="8" spans="2:13" x14ac:dyDescent="0.4">
      <c r="B8" s="190" t="s">
        <v>97</v>
      </c>
      <c r="C8" s="557">
        <v>10</v>
      </c>
      <c r="D8" s="558">
        <v>13</v>
      </c>
      <c r="E8" s="192">
        <f>C8+D8</f>
        <v>23</v>
      </c>
      <c r="F8" s="193">
        <f>E8/E$13</f>
        <v>9.1999999999999998E-2</v>
      </c>
      <c r="G8" s="194"/>
      <c r="H8" s="190" t="s">
        <v>97</v>
      </c>
      <c r="I8" s="557">
        <v>8</v>
      </c>
      <c r="J8" s="558">
        <v>11</v>
      </c>
      <c r="K8" s="192">
        <f>I8+J8</f>
        <v>19</v>
      </c>
      <c r="L8" s="193">
        <f>K8/K$13</f>
        <v>7.5999999999999998E-2</v>
      </c>
    </row>
    <row r="9" spans="2:13" x14ac:dyDescent="0.4">
      <c r="B9" s="190" t="s">
        <v>98</v>
      </c>
      <c r="C9" s="557">
        <v>45</v>
      </c>
      <c r="D9" s="558">
        <v>54</v>
      </c>
      <c r="E9" s="192">
        <f>C9+D9</f>
        <v>99</v>
      </c>
      <c r="F9" s="193">
        <f>E9/E$13</f>
        <v>0.39600000000000002</v>
      </c>
      <c r="G9" s="195"/>
      <c r="H9" s="190" t="s">
        <v>98</v>
      </c>
      <c r="I9" s="557">
        <v>47</v>
      </c>
      <c r="J9" s="558">
        <v>55</v>
      </c>
      <c r="K9" s="192">
        <f>I9+J9</f>
        <v>102</v>
      </c>
      <c r="L9" s="193">
        <f>K9/K$13</f>
        <v>0.40799999999999997</v>
      </c>
      <c r="M9" s="195">
        <f>(K8+K9)/K13</f>
        <v>0.48399999999999999</v>
      </c>
    </row>
    <row r="10" spans="2:13" x14ac:dyDescent="0.4">
      <c r="B10" s="190" t="s">
        <v>99</v>
      </c>
      <c r="C10" s="557">
        <v>46</v>
      </c>
      <c r="D10" s="558">
        <v>64</v>
      </c>
      <c r="E10" s="192">
        <f>C10+D10</f>
        <v>110</v>
      </c>
      <c r="F10" s="193">
        <f>E10/E$13</f>
        <v>0.44</v>
      </c>
      <c r="G10" s="194"/>
      <c r="H10" s="190" t="s">
        <v>99</v>
      </c>
      <c r="I10" s="557">
        <v>56</v>
      </c>
      <c r="J10" s="558">
        <v>57</v>
      </c>
      <c r="K10" s="192">
        <f>I10+J10</f>
        <v>113</v>
      </c>
      <c r="L10" s="193">
        <f>K10/K$13</f>
        <v>0.45200000000000001</v>
      </c>
      <c r="M10" s="179"/>
    </row>
    <row r="11" spans="2:13" x14ac:dyDescent="0.4">
      <c r="B11" s="190" t="s">
        <v>100</v>
      </c>
      <c r="C11" s="557">
        <v>13</v>
      </c>
      <c r="D11" s="558">
        <v>5</v>
      </c>
      <c r="E11" s="192">
        <f>C11+D11</f>
        <v>18</v>
      </c>
      <c r="F11" s="193">
        <f>E11/E$13</f>
        <v>7.1999999999999995E-2</v>
      </c>
      <c r="G11" s="194"/>
      <c r="H11" s="190" t="s">
        <v>100</v>
      </c>
      <c r="I11" s="557">
        <v>3</v>
      </c>
      <c r="J11" s="558">
        <v>13</v>
      </c>
      <c r="K11" s="192">
        <f>I11+J11</f>
        <v>16</v>
      </c>
      <c r="L11" s="193">
        <f>K11/K$13</f>
        <v>6.4000000000000001E-2</v>
      </c>
      <c r="M11" s="179"/>
    </row>
    <row r="12" spans="2:13" x14ac:dyDescent="0.4">
      <c r="B12" s="196" t="s">
        <v>101</v>
      </c>
      <c r="C12" s="559">
        <v>0</v>
      </c>
      <c r="D12" s="560">
        <v>0</v>
      </c>
      <c r="E12" s="199">
        <f>C12+D12</f>
        <v>0</v>
      </c>
      <c r="F12" s="200">
        <f>E12/E$13</f>
        <v>0</v>
      </c>
      <c r="G12" s="194"/>
      <c r="H12" s="196" t="s">
        <v>101</v>
      </c>
      <c r="I12" s="559"/>
      <c r="J12" s="560"/>
      <c r="K12" s="199">
        <f>I12+J12</f>
        <v>0</v>
      </c>
      <c r="L12" s="200">
        <f>K12/K$13</f>
        <v>0</v>
      </c>
    </row>
    <row r="13" spans="2:13" x14ac:dyDescent="0.4">
      <c r="B13" s="201" t="s">
        <v>102</v>
      </c>
      <c r="C13" s="557">
        <f>SUM(C8:C12)</f>
        <v>114</v>
      </c>
      <c r="D13" s="558">
        <f>SUM(D8:D12)</f>
        <v>136</v>
      </c>
      <c r="E13" s="192">
        <f>SUM(E8:E12)</f>
        <v>250</v>
      </c>
      <c r="F13" s="202">
        <f>SUM(F8:F12)</f>
        <v>0.99999999999999989</v>
      </c>
      <c r="G13" s="194"/>
      <c r="H13" s="201" t="s">
        <v>102</v>
      </c>
      <c r="I13" s="557">
        <f>SUM(I8:I12)</f>
        <v>114</v>
      </c>
      <c r="J13" s="558">
        <f>SUM(J8:J12)</f>
        <v>136</v>
      </c>
      <c r="K13" s="192">
        <f>SUM(K8:K12)</f>
        <v>250</v>
      </c>
      <c r="L13" s="202">
        <f>SUM(L8:L12)</f>
        <v>1</v>
      </c>
    </row>
    <row r="14" spans="2:13" x14ac:dyDescent="0.4">
      <c r="B14" s="201"/>
      <c r="C14" s="557"/>
      <c r="D14" s="558"/>
      <c r="E14" s="192"/>
      <c r="F14" s="202"/>
      <c r="G14" s="194"/>
      <c r="H14" s="201"/>
      <c r="I14" s="557"/>
      <c r="J14" s="558"/>
      <c r="K14" s="192"/>
      <c r="L14" s="202"/>
    </row>
    <row r="15" spans="2:13" x14ac:dyDescent="0.4">
      <c r="B15" s="201" t="s">
        <v>103</v>
      </c>
      <c r="C15" s="557">
        <v>41</v>
      </c>
      <c r="D15" s="558">
        <v>50</v>
      </c>
      <c r="E15" s="192">
        <f>C15+D15</f>
        <v>91</v>
      </c>
      <c r="F15" s="202"/>
      <c r="G15" s="194"/>
      <c r="H15" s="201" t="s">
        <v>103</v>
      </c>
      <c r="I15" s="557">
        <v>41</v>
      </c>
      <c r="J15" s="558">
        <v>50</v>
      </c>
      <c r="K15" s="192">
        <f>I15+J15</f>
        <v>91</v>
      </c>
      <c r="L15" s="202"/>
    </row>
    <row r="16" spans="2:13" x14ac:dyDescent="0.4">
      <c r="B16" s="201"/>
      <c r="C16" s="557"/>
      <c r="D16" s="558"/>
      <c r="E16" s="192"/>
      <c r="F16" s="202"/>
      <c r="G16" s="194"/>
      <c r="H16" s="201"/>
      <c r="I16" s="557"/>
      <c r="J16" s="558"/>
      <c r="K16" s="192"/>
      <c r="L16" s="202"/>
    </row>
    <row r="17" spans="2:33" x14ac:dyDescent="0.4">
      <c r="B17" s="203" t="s">
        <v>104</v>
      </c>
      <c r="C17" s="557">
        <v>650</v>
      </c>
      <c r="D17" s="558">
        <f>C17</f>
        <v>650</v>
      </c>
      <c r="E17" s="563"/>
      <c r="F17" s="202"/>
      <c r="G17" s="194"/>
      <c r="H17" s="203" t="s">
        <v>104</v>
      </c>
      <c r="I17" s="557">
        <v>630</v>
      </c>
      <c r="J17" s="558">
        <v>640</v>
      </c>
      <c r="K17" s="563"/>
      <c r="L17" s="202"/>
    </row>
    <row r="18" spans="2:33" x14ac:dyDescent="0.4">
      <c r="B18" s="203" t="s">
        <v>105</v>
      </c>
      <c r="C18" s="557">
        <v>540</v>
      </c>
      <c r="D18" s="558">
        <f>C18</f>
        <v>540</v>
      </c>
      <c r="E18" s="563"/>
      <c r="F18" s="202"/>
      <c r="G18" s="194"/>
      <c r="H18" s="203" t="s">
        <v>105</v>
      </c>
      <c r="I18" s="557">
        <v>540</v>
      </c>
      <c r="J18" s="558">
        <v>540</v>
      </c>
      <c r="K18" s="563"/>
      <c r="L18" s="202"/>
    </row>
    <row r="19" spans="2:33" x14ac:dyDescent="0.4">
      <c r="B19" s="201"/>
      <c r="C19" s="557"/>
      <c r="D19" s="558"/>
      <c r="E19" s="564"/>
      <c r="F19" s="202"/>
      <c r="G19" s="194"/>
      <c r="H19" s="201"/>
      <c r="I19" s="557"/>
      <c r="J19" s="558"/>
      <c r="K19" s="564"/>
      <c r="L19" s="202"/>
    </row>
    <row r="20" spans="2:33" x14ac:dyDescent="0.4">
      <c r="B20" s="190" t="s">
        <v>106</v>
      </c>
      <c r="C20" s="561">
        <v>594</v>
      </c>
      <c r="D20" s="562">
        <v>599</v>
      </c>
      <c r="E20" s="565"/>
      <c r="F20" s="202"/>
      <c r="G20" s="194"/>
      <c r="H20" s="190" t="s">
        <v>107</v>
      </c>
      <c r="I20" s="561">
        <v>588</v>
      </c>
      <c r="J20" s="562">
        <v>592</v>
      </c>
      <c r="K20" s="565"/>
      <c r="L20" s="202"/>
    </row>
    <row r="21" spans="2:33" ht="13.5" thickBot="1" x14ac:dyDescent="0.45">
      <c r="B21" s="208" t="s">
        <v>108</v>
      </c>
      <c r="C21" s="566">
        <v>590</v>
      </c>
      <c r="D21" s="567">
        <v>590</v>
      </c>
      <c r="E21" s="568"/>
      <c r="F21" s="212"/>
      <c r="G21" s="194"/>
      <c r="H21" s="208" t="s">
        <v>108</v>
      </c>
      <c r="I21" s="566">
        <v>590</v>
      </c>
      <c r="J21" s="567">
        <v>590</v>
      </c>
      <c r="K21" s="568"/>
      <c r="L21" s="212"/>
    </row>
    <row r="22" spans="2:33" s="194" customFormat="1" ht="9" customHeight="1" thickBot="1" x14ac:dyDescent="0.45">
      <c r="B22" s="18"/>
      <c r="C22" s="80"/>
      <c r="D22" s="80"/>
      <c r="E22" s="80"/>
      <c r="F22" s="213"/>
      <c r="H22" s="18"/>
      <c r="I22" s="80"/>
      <c r="J22" s="80"/>
      <c r="K22" s="80"/>
      <c r="L22" s="213"/>
    </row>
    <row r="23" spans="2:33" x14ac:dyDescent="0.4">
      <c r="C23" s="214" t="s">
        <v>109</v>
      </c>
      <c r="D23" s="215"/>
      <c r="E23" s="216"/>
      <c r="F23" s="217"/>
      <c r="G23" s="218"/>
      <c r="H23" s="215"/>
      <c r="I23" s="215"/>
      <c r="J23" s="215"/>
      <c r="K23" s="219"/>
    </row>
    <row r="24" spans="2:33" x14ac:dyDescent="0.4">
      <c r="C24" s="220"/>
      <c r="D24" s="221" t="s">
        <v>110</v>
      </c>
      <c r="E24" s="222" t="s">
        <v>111</v>
      </c>
      <c r="F24" s="223" t="s">
        <v>43</v>
      </c>
      <c r="G24" s="224"/>
      <c r="H24" s="225"/>
      <c r="I24" s="226" t="s">
        <v>110</v>
      </c>
      <c r="J24" s="227" t="s">
        <v>111</v>
      </c>
      <c r="K24" s="228" t="s">
        <v>43</v>
      </c>
      <c r="P24" s="2" t="s">
        <v>112</v>
      </c>
      <c r="Z24" s="2" t="s">
        <v>113</v>
      </c>
    </row>
    <row r="25" spans="2:33" ht="12.75" customHeight="1" x14ac:dyDescent="0.4">
      <c r="C25" s="229" t="s">
        <v>114</v>
      </c>
      <c r="D25" s="569">
        <v>1207</v>
      </c>
      <c r="E25" s="570">
        <v>1206</v>
      </c>
      <c r="F25" s="232">
        <v>1205</v>
      </c>
      <c r="G25" s="233"/>
      <c r="H25" s="233" t="s">
        <v>115</v>
      </c>
      <c r="I25" s="557">
        <v>1320</v>
      </c>
      <c r="J25" s="558">
        <v>1320</v>
      </c>
      <c r="K25" s="130">
        <v>1320</v>
      </c>
      <c r="O25" s="234" t="s">
        <v>116</v>
      </c>
      <c r="P25" s="234" t="s">
        <v>117</v>
      </c>
      <c r="Q25" s="234" t="s">
        <v>118</v>
      </c>
      <c r="R25" s="234" t="s">
        <v>119</v>
      </c>
      <c r="S25" s="234" t="s">
        <v>120</v>
      </c>
      <c r="U25" s="235" t="s">
        <v>121</v>
      </c>
      <c r="V25" s="235"/>
      <c r="W25" s="235" t="s">
        <v>122</v>
      </c>
      <c r="Y25" s="234" t="s">
        <v>116</v>
      </c>
      <c r="Z25" s="234" t="s">
        <v>123</v>
      </c>
      <c r="AA25" s="234" t="s">
        <v>118</v>
      </c>
      <c r="AB25" s="234" t="s">
        <v>119</v>
      </c>
      <c r="AC25" s="234" t="s">
        <v>120</v>
      </c>
      <c r="AE25" s="235" t="s">
        <v>124</v>
      </c>
    </row>
    <row r="26" spans="2:33" ht="13.5" thickBot="1" x14ac:dyDescent="0.45">
      <c r="C26" s="236" t="s">
        <v>125</v>
      </c>
      <c r="D26" s="566">
        <v>1200</v>
      </c>
      <c r="E26" s="567">
        <v>1200</v>
      </c>
      <c r="F26" s="238">
        <v>1200</v>
      </c>
      <c r="G26" s="239"/>
      <c r="H26" s="239" t="s">
        <v>126</v>
      </c>
      <c r="I26" s="566">
        <v>1100</v>
      </c>
      <c r="J26" s="567">
        <v>1100</v>
      </c>
      <c r="K26" s="16">
        <v>1100</v>
      </c>
      <c r="O26" s="240" t="s">
        <v>127</v>
      </c>
      <c r="P26" s="2" t="s">
        <v>128</v>
      </c>
      <c r="Q26" s="241"/>
      <c r="R26" s="241"/>
      <c r="S26" s="241"/>
      <c r="U26" s="242" t="e">
        <f>S26/(S$34-S$33)</f>
        <v>#DIV/0!</v>
      </c>
      <c r="V26" s="235"/>
      <c r="W26" s="235"/>
      <c r="Y26" s="240" t="s">
        <v>127</v>
      </c>
      <c r="Z26" s="2" t="s">
        <v>129</v>
      </c>
      <c r="AA26" s="241"/>
      <c r="AB26" s="241"/>
      <c r="AC26" s="241"/>
      <c r="AE26" s="242" t="e">
        <f t="shared" ref="AE26:AE31" si="0">AC26/AC$32</f>
        <v>#DIV/0!</v>
      </c>
    </row>
    <row r="27" spans="2:33" ht="13.5" thickBot="1" x14ac:dyDescent="0.45">
      <c r="O27" s="240"/>
      <c r="P27" s="2" t="s">
        <v>130</v>
      </c>
      <c r="Q27" s="241"/>
      <c r="R27" s="241"/>
      <c r="S27" s="241"/>
      <c r="U27" s="242" t="e">
        <f t="shared" ref="U27:U32" si="1">S27/(S$34-S$33)</f>
        <v>#DIV/0!</v>
      </c>
      <c r="V27" s="235"/>
      <c r="W27" s="235"/>
      <c r="Y27" s="240"/>
      <c r="Z27" s="2" t="s">
        <v>131</v>
      </c>
      <c r="AA27" s="241"/>
      <c r="AB27" s="241"/>
      <c r="AC27" s="241"/>
      <c r="AE27" s="242" t="e">
        <f t="shared" si="0"/>
        <v>#DIV/0!</v>
      </c>
      <c r="AG27" s="243"/>
    </row>
    <row r="28" spans="2:33" x14ac:dyDescent="0.4">
      <c r="B28" s="244" t="s">
        <v>132</v>
      </c>
      <c r="C28" s="215"/>
      <c r="D28" s="216"/>
      <c r="E28" s="219"/>
      <c r="G28" s="214" t="s">
        <v>133</v>
      </c>
      <c r="H28" s="245"/>
      <c r="I28" s="215"/>
      <c r="J28" s="246" t="s">
        <v>114</v>
      </c>
      <c r="K28" s="247">
        <v>3.72</v>
      </c>
      <c r="L28" s="219"/>
      <c r="O28" s="240"/>
      <c r="P28" s="2" t="s">
        <v>134</v>
      </c>
      <c r="Q28" s="241"/>
      <c r="R28" s="241"/>
      <c r="S28" s="241"/>
      <c r="U28" s="242" t="e">
        <f t="shared" si="1"/>
        <v>#DIV/0!</v>
      </c>
      <c r="V28" s="235"/>
      <c r="W28" s="248" t="e">
        <f>U28+U27</f>
        <v>#DIV/0!</v>
      </c>
      <c r="Y28" s="240"/>
      <c r="Z28" s="2" t="s">
        <v>135</v>
      </c>
      <c r="AA28" s="241"/>
      <c r="AB28" s="241"/>
      <c r="AC28" s="241"/>
      <c r="AE28" s="242" t="e">
        <f t="shared" si="0"/>
        <v>#DIV/0!</v>
      </c>
    </row>
    <row r="29" spans="2:33" x14ac:dyDescent="0.4">
      <c r="B29" s="249" t="s">
        <v>136</v>
      </c>
      <c r="C29" s="571">
        <f>71/K36</f>
        <v>0.30603448275862066</v>
      </c>
      <c r="D29" s="80" t="s">
        <v>137</v>
      </c>
      <c r="E29" s="573">
        <f>169/K36</f>
        <v>0.72844827586206895</v>
      </c>
      <c r="G29" s="629">
        <v>321</v>
      </c>
      <c r="H29" s="253" t="s">
        <v>138</v>
      </c>
      <c r="I29" s="579">
        <f>G29/K35</f>
        <v>0.94134897360703818</v>
      </c>
      <c r="J29" s="255"/>
      <c r="K29" s="256" t="s">
        <v>139</v>
      </c>
      <c r="L29" s="580">
        <f>34/K35</f>
        <v>9.9706744868035185E-2</v>
      </c>
      <c r="M29" s="2">
        <v>392</v>
      </c>
      <c r="N29" s="2" t="s">
        <v>466</v>
      </c>
      <c r="O29" s="240"/>
      <c r="P29" s="2" t="s">
        <v>140</v>
      </c>
      <c r="Q29" s="241"/>
      <c r="R29" s="241"/>
      <c r="S29" s="241"/>
      <c r="U29" s="242" t="e">
        <f t="shared" si="1"/>
        <v>#DIV/0!</v>
      </c>
      <c r="V29" s="235"/>
      <c r="W29" s="248" t="e">
        <f>U29+W28</f>
        <v>#DIV/0!</v>
      </c>
      <c r="Y29" s="240"/>
      <c r="Z29" s="2" t="s">
        <v>141</v>
      </c>
      <c r="AA29" s="241"/>
      <c r="AB29" s="241"/>
      <c r="AC29" s="241"/>
      <c r="AE29" s="242" t="e">
        <f t="shared" si="0"/>
        <v>#DIV/0!</v>
      </c>
    </row>
    <row r="30" spans="2:33" x14ac:dyDescent="0.4">
      <c r="B30" s="249" t="s">
        <v>142</v>
      </c>
      <c r="C30" s="571">
        <f>(71+56)/K36</f>
        <v>0.54741379310344829</v>
      </c>
      <c r="D30" s="213" t="s">
        <v>143</v>
      </c>
      <c r="E30" s="573">
        <f>196/K36</f>
        <v>0.84482758620689657</v>
      </c>
      <c r="F30" s="9"/>
      <c r="G30" s="629">
        <v>174</v>
      </c>
      <c r="H30" s="258" t="s">
        <v>144</v>
      </c>
      <c r="I30" s="579">
        <f>G30/K35</f>
        <v>0.51026392961876832</v>
      </c>
      <c r="J30" s="255"/>
      <c r="K30" s="256" t="s">
        <v>145</v>
      </c>
      <c r="L30" s="580">
        <f>16/K35</f>
        <v>4.6920821114369501E-2</v>
      </c>
      <c r="O30" s="240"/>
      <c r="P30" s="2" t="s">
        <v>146</v>
      </c>
      <c r="Q30" s="241"/>
      <c r="R30" s="241"/>
      <c r="S30" s="241"/>
      <c r="U30" s="242" t="e">
        <f t="shared" si="1"/>
        <v>#DIV/0!</v>
      </c>
      <c r="V30" s="235"/>
      <c r="W30" s="248" t="e">
        <f>U30+W29</f>
        <v>#DIV/0!</v>
      </c>
      <c r="Y30" s="240"/>
      <c r="Z30" s="2" t="s">
        <v>147</v>
      </c>
      <c r="AA30" s="241"/>
      <c r="AB30" s="241"/>
      <c r="AC30" s="241"/>
      <c r="AE30" s="242" t="e">
        <f t="shared" si="0"/>
        <v>#DIV/0!</v>
      </c>
    </row>
    <row r="31" spans="2:33" ht="13.5" thickBot="1" x14ac:dyDescent="0.45">
      <c r="B31" s="259" t="s">
        <v>148</v>
      </c>
      <c r="C31" s="572">
        <f>(71+56+21)/K36</f>
        <v>0.63793103448275867</v>
      </c>
      <c r="D31" s="261" t="s">
        <v>149</v>
      </c>
      <c r="E31" s="574">
        <f>211/K36</f>
        <v>0.90948275862068961</v>
      </c>
      <c r="G31" s="629">
        <v>69</v>
      </c>
      <c r="H31" s="258" t="s">
        <v>150</v>
      </c>
      <c r="I31" s="579">
        <f>G31/K35</f>
        <v>0.20234604105571846</v>
      </c>
      <c r="J31" s="255"/>
      <c r="K31" s="256" t="s">
        <v>151</v>
      </c>
      <c r="L31" s="580">
        <f>4/K35</f>
        <v>1.1730205278592375E-2</v>
      </c>
      <c r="M31" s="94"/>
      <c r="O31" s="240"/>
      <c r="P31" s="2" t="s">
        <v>152</v>
      </c>
      <c r="Q31" s="241"/>
      <c r="R31" s="241"/>
      <c r="S31" s="241"/>
      <c r="U31" s="242" t="e">
        <f t="shared" si="1"/>
        <v>#DIV/0!</v>
      </c>
      <c r="V31" s="235"/>
      <c r="W31" s="248" t="e">
        <f>U31+W30</f>
        <v>#DIV/0!</v>
      </c>
      <c r="Y31" s="263"/>
      <c r="Z31" s="2" t="s">
        <v>153</v>
      </c>
      <c r="AA31" s="241"/>
      <c r="AB31" s="241"/>
      <c r="AC31" s="241"/>
      <c r="AE31" s="242" t="e">
        <f t="shared" si="0"/>
        <v>#DIV/0!</v>
      </c>
    </row>
    <row r="32" spans="2:33" x14ac:dyDescent="0.4">
      <c r="B32" s="80"/>
      <c r="C32" s="264"/>
      <c r="D32" s="213"/>
      <c r="E32" s="264"/>
      <c r="G32" s="629">
        <v>44</v>
      </c>
      <c r="H32" s="258" t="s">
        <v>154</v>
      </c>
      <c r="I32" s="579">
        <f>G32/K35</f>
        <v>0.12903225806451613</v>
      </c>
      <c r="J32" s="255"/>
      <c r="K32" s="265" t="s">
        <v>155</v>
      </c>
      <c r="L32" s="580">
        <v>0</v>
      </c>
      <c r="M32" s="94"/>
      <c r="O32" s="240"/>
      <c r="P32" s="2" t="s">
        <v>156</v>
      </c>
      <c r="Q32" s="241"/>
      <c r="R32" s="241"/>
      <c r="S32" s="241"/>
      <c r="U32" s="242" t="e">
        <f t="shared" si="1"/>
        <v>#DIV/0!</v>
      </c>
      <c r="V32" s="235"/>
      <c r="W32" s="248" t="e">
        <f>U32+W31</f>
        <v>#DIV/0!</v>
      </c>
      <c r="Y32" s="266" t="s">
        <v>157</v>
      </c>
      <c r="Z32" s="266"/>
      <c r="AA32" s="267"/>
      <c r="AB32" s="267"/>
      <c r="AC32" s="267"/>
      <c r="AE32" s="248" t="e">
        <f>SUM(AE26:AE31)</f>
        <v>#DIV/0!</v>
      </c>
    </row>
    <row r="33" spans="2:23" ht="13.5" thickBot="1" x14ac:dyDescent="0.45">
      <c r="B33" s="170"/>
      <c r="C33" s="171"/>
      <c r="G33" s="268" t="s">
        <v>158</v>
      </c>
      <c r="H33" s="269"/>
      <c r="I33" s="270"/>
      <c r="J33" s="271" t="s">
        <v>159</v>
      </c>
      <c r="K33" s="272"/>
      <c r="L33" s="273"/>
      <c r="M33" s="94"/>
      <c r="O33" s="263"/>
      <c r="P33" s="2" t="s">
        <v>160</v>
      </c>
      <c r="Q33" s="241"/>
      <c r="R33" s="241"/>
      <c r="S33" s="241"/>
      <c r="U33" s="235"/>
      <c r="V33" s="235"/>
      <c r="W33" s="235"/>
    </row>
    <row r="34" spans="2:23" s="278" customFormat="1" ht="14.25" x14ac:dyDescent="0.45">
      <c r="B34" s="274"/>
      <c r="C34" s="4"/>
      <c r="D34" s="4"/>
      <c r="E34" s="275" t="s">
        <v>161</v>
      </c>
      <c r="F34" s="276" t="s">
        <v>162</v>
      </c>
      <c r="G34" s="277"/>
      <c r="K34" s="275" t="s">
        <v>161</v>
      </c>
      <c r="L34" s="276" t="s">
        <v>162</v>
      </c>
      <c r="M34" s="279">
        <v>394</v>
      </c>
      <c r="O34" s="266" t="s">
        <v>157</v>
      </c>
      <c r="P34" s="266"/>
      <c r="Q34" s="267"/>
      <c r="R34" s="267"/>
      <c r="S34" s="267"/>
      <c r="T34" s="2"/>
      <c r="U34" s="248" t="e">
        <f>SUM(U26:U32)</f>
        <v>#DIV/0!</v>
      </c>
      <c r="V34" s="235"/>
      <c r="W34" s="235"/>
    </row>
    <row r="35" spans="2:23" s="278" customFormat="1" ht="14.25" x14ac:dyDescent="0.45">
      <c r="B35" s="278" t="s">
        <v>163</v>
      </c>
      <c r="C35" s="277"/>
      <c r="D35" s="277"/>
      <c r="E35" s="575">
        <f>E13</f>
        <v>250</v>
      </c>
      <c r="F35" s="280">
        <f>E35/M34</f>
        <v>0.63451776649746194</v>
      </c>
      <c r="G35" s="277"/>
      <c r="H35" s="4" t="s">
        <v>164</v>
      </c>
      <c r="I35" s="4"/>
      <c r="J35" s="4"/>
      <c r="K35" s="575">
        <v>341</v>
      </c>
      <c r="L35" s="282">
        <f>K35/M34</f>
        <v>0.86548223350253806</v>
      </c>
      <c r="M35" s="283"/>
      <c r="O35" s="284" t="s">
        <v>120</v>
      </c>
      <c r="P35" s="284"/>
      <c r="Q35" s="285"/>
      <c r="R35" s="285"/>
      <c r="S35" s="285"/>
      <c r="T35" s="2"/>
      <c r="U35" s="2"/>
      <c r="V35" s="2"/>
      <c r="W35" s="2"/>
    </row>
    <row r="36" spans="2:23" s="278" customFormat="1" ht="14.25" x14ac:dyDescent="0.45">
      <c r="B36" s="278" t="s">
        <v>165</v>
      </c>
      <c r="C36" s="4"/>
      <c r="D36" s="4"/>
      <c r="E36" s="576">
        <v>75</v>
      </c>
      <c r="F36" s="280">
        <f>E36/M34</f>
        <v>0.19035532994923857</v>
      </c>
      <c r="G36" s="277"/>
      <c r="H36" s="286" t="s">
        <v>166</v>
      </c>
      <c r="I36" s="286"/>
      <c r="J36" s="286"/>
      <c r="K36" s="575">
        <v>232</v>
      </c>
      <c r="L36" s="282">
        <f>K36/M34</f>
        <v>0.58883248730964466</v>
      </c>
      <c r="M36" s="283"/>
    </row>
    <row r="37" spans="2:23" s="4" customFormat="1" ht="14.25" x14ac:dyDescent="0.45">
      <c r="B37" s="4" t="s">
        <v>167</v>
      </c>
      <c r="D37" s="287"/>
      <c r="E37" s="577">
        <v>25.8</v>
      </c>
      <c r="G37" s="289"/>
      <c r="K37" s="290"/>
      <c r="L37" s="290"/>
      <c r="M37" s="283"/>
    </row>
    <row r="38" spans="2:23" s="4" customFormat="1" ht="14.25" x14ac:dyDescent="0.45">
      <c r="D38" s="278"/>
      <c r="E38" s="291"/>
      <c r="F38" s="277"/>
      <c r="G38" s="289"/>
      <c r="K38" s="290"/>
      <c r="L38" s="290"/>
      <c r="M38" s="283"/>
    </row>
    <row r="39" spans="2:23" s="194" customFormat="1" ht="14.25" x14ac:dyDescent="0.45">
      <c r="B39" s="286" t="s">
        <v>168</v>
      </c>
      <c r="C39" s="292"/>
      <c r="D39" s="293"/>
      <c r="E39" s="294" t="s">
        <v>169</v>
      </c>
      <c r="F39" s="295"/>
      <c r="G39" s="578">
        <v>6</v>
      </c>
      <c r="H39" s="294" t="s">
        <v>170</v>
      </c>
      <c r="J39" s="578">
        <v>2</v>
      </c>
      <c r="K39" s="292"/>
      <c r="L39" s="292"/>
      <c r="M39" s="297" t="s">
        <v>171</v>
      </c>
    </row>
    <row r="40" spans="2:23" s="194" customFormat="1" ht="14.25" x14ac:dyDescent="0.45">
      <c r="C40" s="292"/>
      <c r="D40" s="293"/>
      <c r="E40" s="294" t="s">
        <v>172</v>
      </c>
      <c r="F40" s="298"/>
      <c r="G40" s="578">
        <v>12</v>
      </c>
      <c r="H40" s="299" t="s">
        <v>173</v>
      </c>
      <c r="J40" s="300"/>
      <c r="K40" s="292"/>
      <c r="L40" s="292"/>
    </row>
    <row r="41" spans="2:23" s="194" customFormat="1" x14ac:dyDescent="0.4">
      <c r="C41" s="292"/>
      <c r="D41" s="293"/>
      <c r="E41" s="299"/>
      <c r="G41" s="293"/>
      <c r="H41" s="299"/>
      <c r="J41" s="300"/>
      <c r="K41" s="292"/>
      <c r="L41" s="292"/>
    </row>
    <row r="42" spans="2:23" x14ac:dyDescent="0.4">
      <c r="C42" s="2"/>
      <c r="D42" s="2"/>
      <c r="E42" s="2"/>
      <c r="F42" s="2"/>
      <c r="K42" s="2"/>
      <c r="L42" s="2"/>
    </row>
    <row r="43" spans="2:23" x14ac:dyDescent="0.4">
      <c r="C43" s="2"/>
      <c r="D43" s="2"/>
      <c r="E43" s="2"/>
      <c r="F43" s="2"/>
      <c r="I43" s="301"/>
      <c r="J43" s="301"/>
      <c r="K43" s="301"/>
      <c r="L43" s="302"/>
    </row>
    <row r="44" spans="2:23" s="4" customFormat="1" ht="14.25" x14ac:dyDescent="0.45">
      <c r="B44" s="303" t="s">
        <v>174</v>
      </c>
      <c r="C44" s="304"/>
      <c r="D44" s="304"/>
      <c r="E44" s="304"/>
      <c r="F44" s="305"/>
      <c r="J44" s="298"/>
      <c r="K44" s="289"/>
      <c r="L44" s="289"/>
    </row>
    <row r="45" spans="2:23" s="4" customFormat="1" ht="14.25" x14ac:dyDescent="0.45">
      <c r="B45" s="581" t="s">
        <v>489</v>
      </c>
      <c r="C45" s="298"/>
      <c r="D45" s="306" t="s">
        <v>175</v>
      </c>
      <c r="E45" s="307" t="s">
        <v>176</v>
      </c>
      <c r="F45" s="578">
        <v>548</v>
      </c>
      <c r="G45" s="307" t="s">
        <v>177</v>
      </c>
      <c r="H45" s="578">
        <v>545</v>
      </c>
      <c r="I45" s="307" t="s">
        <v>178</v>
      </c>
      <c r="J45" s="578">
        <v>1109</v>
      </c>
      <c r="K45" s="289"/>
      <c r="L45" s="289"/>
    </row>
    <row r="46" spans="2:23" s="4" customFormat="1" ht="14.25" x14ac:dyDescent="0.45">
      <c r="B46" s="298"/>
      <c r="C46" s="298"/>
      <c r="E46" s="298"/>
      <c r="F46" s="306" t="s">
        <v>179</v>
      </c>
      <c r="H46" s="582">
        <v>3.2</v>
      </c>
      <c r="I46" s="298"/>
      <c r="J46" s="290"/>
      <c r="K46" s="289"/>
      <c r="L46" s="289"/>
    </row>
    <row r="47" spans="2:23" x14ac:dyDescent="0.4">
      <c r="C47" s="2"/>
      <c r="F47" s="9"/>
    </row>
    <row r="48" spans="2:23" s="177" customFormat="1" ht="15.75" x14ac:dyDescent="0.5">
      <c r="B48" s="309" t="s">
        <v>180</v>
      </c>
      <c r="C48" s="310"/>
      <c r="D48" s="311"/>
      <c r="E48" s="312"/>
      <c r="F48" s="313"/>
      <c r="G48" s="311"/>
      <c r="H48" s="312"/>
      <c r="I48" s="313"/>
      <c r="J48" s="313"/>
      <c r="K48" s="314"/>
      <c r="L48" s="314"/>
    </row>
    <row r="49" spans="2:29" ht="14.25" x14ac:dyDescent="0.45">
      <c r="E49" s="315"/>
      <c r="H49" s="2" t="s">
        <v>181</v>
      </c>
    </row>
    <row r="50" spans="2:29" s="4" customFormat="1" ht="14.25" x14ac:dyDescent="0.45">
      <c r="B50" s="316" t="s">
        <v>182</v>
      </c>
      <c r="C50" s="576">
        <v>2289</v>
      </c>
      <c r="E50" s="316" t="s">
        <v>183</v>
      </c>
      <c r="F50" s="576">
        <v>1620</v>
      </c>
      <c r="G50" s="587">
        <f>(F50/C50)</f>
        <v>0.70773263433813893</v>
      </c>
      <c r="H50" s="316" t="s">
        <v>184</v>
      </c>
      <c r="I50" s="576">
        <v>341</v>
      </c>
      <c r="J50" s="586">
        <f>(I50/F50)</f>
        <v>0.21049382716049383</v>
      </c>
      <c r="K50" s="289"/>
      <c r="L50" s="289"/>
      <c r="O50" s="319" t="s">
        <v>185</v>
      </c>
      <c r="P50" s="320">
        <v>394</v>
      </c>
    </row>
    <row r="51" spans="2:29" ht="14.65" thickBot="1" x14ac:dyDescent="0.5">
      <c r="E51" s="315"/>
    </row>
    <row r="52" spans="2:29" ht="14.65" thickBot="1" x14ac:dyDescent="0.5">
      <c r="B52" s="321" t="s">
        <v>186</v>
      </c>
      <c r="C52" s="322"/>
      <c r="D52" s="323" t="s">
        <v>187</v>
      </c>
      <c r="E52" s="324" t="s">
        <v>161</v>
      </c>
      <c r="F52" s="325" t="s">
        <v>162</v>
      </c>
      <c r="I52" s="326" t="s">
        <v>188</v>
      </c>
      <c r="J52" s="327"/>
      <c r="K52" s="328"/>
      <c r="L52" s="329"/>
      <c r="N52" s="234" t="s">
        <v>189</v>
      </c>
      <c r="O52" s="234" t="s">
        <v>190</v>
      </c>
      <c r="P52" s="234" t="s">
        <v>191</v>
      </c>
      <c r="Q52" s="234" t="s">
        <v>118</v>
      </c>
      <c r="R52" s="234" t="s">
        <v>119</v>
      </c>
      <c r="S52" s="234" t="s">
        <v>120</v>
      </c>
    </row>
    <row r="53" spans="2:29" ht="13.5" thickTop="1" x14ac:dyDescent="0.4">
      <c r="B53" s="330" t="s">
        <v>192</v>
      </c>
      <c r="C53" s="331"/>
      <c r="D53" s="584" t="str">
        <f t="shared" ref="D53" si="2">B127</f>
        <v>PA</v>
      </c>
      <c r="E53" s="585">
        <v>224</v>
      </c>
      <c r="F53" s="334">
        <f t="shared" ref="F53:F61" si="3">E53/$E$64</f>
        <v>0.65689149560117299</v>
      </c>
      <c r="I53" s="33"/>
      <c r="J53" s="19" t="s">
        <v>193</v>
      </c>
      <c r="K53" s="590">
        <f>I50-K54</f>
        <v>155</v>
      </c>
      <c r="L53" s="257">
        <f>K53/(K53+K54)</f>
        <v>0.45454545454545453</v>
      </c>
      <c r="N53" s="240" t="s">
        <v>194</v>
      </c>
      <c r="O53" s="240" t="s">
        <v>195</v>
      </c>
      <c r="P53" s="2" t="s">
        <v>196</v>
      </c>
      <c r="Q53" s="241">
        <v>101</v>
      </c>
      <c r="R53" s="241">
        <v>130</v>
      </c>
      <c r="S53" s="241">
        <v>231</v>
      </c>
      <c r="U53" s="2">
        <f>COUNTA(P53:P83)</f>
        <v>31</v>
      </c>
    </row>
    <row r="54" spans="2:29" ht="13.5" thickBot="1" x14ac:dyDescent="0.45">
      <c r="B54" s="330" t="s">
        <v>197</v>
      </c>
      <c r="C54" s="331"/>
      <c r="D54" s="584" t="s">
        <v>202</v>
      </c>
      <c r="E54" s="585">
        <v>19</v>
      </c>
      <c r="F54" s="334">
        <f t="shared" si="3"/>
        <v>5.5718475073313782E-2</v>
      </c>
      <c r="I54" s="164"/>
      <c r="J54" s="336" t="s">
        <v>198</v>
      </c>
      <c r="K54" s="591">
        <v>186</v>
      </c>
      <c r="L54" s="338">
        <f>K54/(K54+K53)</f>
        <v>0.54545454545454541</v>
      </c>
      <c r="N54" s="240"/>
      <c r="O54" s="240"/>
      <c r="P54" s="2" t="s">
        <v>199</v>
      </c>
      <c r="Q54" s="241">
        <v>22</v>
      </c>
      <c r="R54" s="241">
        <v>12</v>
      </c>
      <c r="S54" s="241">
        <v>34</v>
      </c>
    </row>
    <row r="55" spans="2:29" ht="13.5" thickBot="1" x14ac:dyDescent="0.45">
      <c r="B55" s="33"/>
      <c r="C55" s="339"/>
      <c r="D55" s="584" t="s">
        <v>199</v>
      </c>
      <c r="E55" s="585">
        <v>17</v>
      </c>
      <c r="F55" s="334">
        <f t="shared" si="3"/>
        <v>4.9853372434017593E-2</v>
      </c>
      <c r="K55" s="2"/>
      <c r="L55" s="2"/>
      <c r="M55" s="301"/>
      <c r="N55" s="240"/>
      <c r="O55" s="240"/>
      <c r="P55" s="2" t="s">
        <v>200</v>
      </c>
      <c r="Q55" s="241">
        <v>15</v>
      </c>
      <c r="R55" s="241">
        <v>9</v>
      </c>
      <c r="S55" s="241">
        <v>24</v>
      </c>
      <c r="AB55" s="2">
        <v>17</v>
      </c>
      <c r="AC55" s="2">
        <v>8</v>
      </c>
    </row>
    <row r="56" spans="2:29" x14ac:dyDescent="0.4">
      <c r="B56" s="33" t="s">
        <v>467</v>
      </c>
      <c r="C56" s="339"/>
      <c r="D56" s="584" t="s">
        <v>200</v>
      </c>
      <c r="E56" s="585">
        <v>5</v>
      </c>
      <c r="F56" s="334">
        <f t="shared" si="3"/>
        <v>1.466275659824047E-2</v>
      </c>
      <c r="I56" s="326" t="s">
        <v>201</v>
      </c>
      <c r="J56" s="327"/>
      <c r="K56" s="328"/>
      <c r="L56" s="329"/>
      <c r="N56" s="240"/>
      <c r="O56" s="240"/>
      <c r="P56" s="2" t="s">
        <v>202</v>
      </c>
      <c r="Q56" s="241">
        <v>7</v>
      </c>
      <c r="R56" s="241">
        <v>9</v>
      </c>
      <c r="S56" s="241">
        <v>16</v>
      </c>
      <c r="AB56" s="2">
        <f>AB55+1</f>
        <v>18</v>
      </c>
      <c r="AC56" s="2">
        <v>282</v>
      </c>
    </row>
    <row r="57" spans="2:29" x14ac:dyDescent="0.4">
      <c r="B57" s="33" t="s">
        <v>203</v>
      </c>
      <c r="C57" s="339"/>
      <c r="D57" s="584" t="s">
        <v>208</v>
      </c>
      <c r="E57" s="585">
        <v>6</v>
      </c>
      <c r="F57" s="334">
        <f t="shared" si="3"/>
        <v>1.7595307917888565E-2</v>
      </c>
      <c r="I57" s="33"/>
      <c r="J57" s="256" t="s">
        <v>204</v>
      </c>
      <c r="K57" s="592">
        <v>276</v>
      </c>
      <c r="L57" s="257">
        <f>K57/$P$50</f>
        <v>0.70050761421319796</v>
      </c>
      <c r="N57" s="240"/>
      <c r="O57" s="240"/>
      <c r="P57" s="2" t="s">
        <v>205</v>
      </c>
      <c r="Q57" s="241">
        <v>4</v>
      </c>
      <c r="R57" s="241">
        <v>7</v>
      </c>
      <c r="S57" s="241">
        <v>11</v>
      </c>
      <c r="AB57" s="2">
        <f t="shared" ref="AB57:AB59" si="4">AB56+1</f>
        <v>19</v>
      </c>
      <c r="AC57" s="2">
        <v>92</v>
      </c>
    </row>
    <row r="58" spans="2:29" x14ac:dyDescent="0.4">
      <c r="B58" s="33" t="s">
        <v>206</v>
      </c>
      <c r="C58" s="339"/>
      <c r="D58" s="584" t="s">
        <v>210</v>
      </c>
      <c r="E58" s="585">
        <v>10</v>
      </c>
      <c r="F58" s="334">
        <f t="shared" si="3"/>
        <v>2.932551319648094E-2</v>
      </c>
      <c r="I58" s="33"/>
      <c r="J58" s="256" t="s">
        <v>207</v>
      </c>
      <c r="K58" s="592">
        <v>51</v>
      </c>
      <c r="L58" s="257">
        <f t="shared" ref="L58:L62" si="5">K58/$P$50</f>
        <v>0.12944162436548223</v>
      </c>
      <c r="N58" s="240"/>
      <c r="O58" s="240"/>
      <c r="P58" s="2" t="s">
        <v>208</v>
      </c>
      <c r="Q58" s="241">
        <v>6</v>
      </c>
      <c r="R58" s="241">
        <v>5</v>
      </c>
      <c r="S58" s="241">
        <v>11</v>
      </c>
      <c r="AB58" s="2">
        <f t="shared" si="4"/>
        <v>20</v>
      </c>
      <c r="AC58" s="2">
        <v>5</v>
      </c>
    </row>
    <row r="59" spans="2:29" x14ac:dyDescent="0.4">
      <c r="B59" s="33"/>
      <c r="C59" s="339"/>
      <c r="D59" s="584" t="s">
        <v>212</v>
      </c>
      <c r="E59" s="585">
        <v>4</v>
      </c>
      <c r="F59" s="334">
        <f t="shared" si="3"/>
        <v>1.1730205278592375E-2</v>
      </c>
      <c r="I59" s="33"/>
      <c r="J59" s="256" t="s">
        <v>209</v>
      </c>
      <c r="K59" s="592">
        <v>3</v>
      </c>
      <c r="L59" s="257">
        <f t="shared" si="5"/>
        <v>7.6142131979695434E-3</v>
      </c>
      <c r="N59" s="240"/>
      <c r="O59" s="240"/>
      <c r="P59" s="2" t="s">
        <v>210</v>
      </c>
      <c r="Q59" s="241">
        <v>3</v>
      </c>
      <c r="R59" s="241">
        <v>5</v>
      </c>
      <c r="S59" s="241">
        <v>8</v>
      </c>
      <c r="AB59" s="2">
        <f t="shared" si="4"/>
        <v>21</v>
      </c>
      <c r="AC59" s="2">
        <v>1</v>
      </c>
    </row>
    <row r="60" spans="2:29" x14ac:dyDescent="0.4">
      <c r="B60" s="33"/>
      <c r="C60" s="339"/>
      <c r="D60" s="584" t="s">
        <v>230</v>
      </c>
      <c r="E60" s="585">
        <v>4</v>
      </c>
      <c r="F60" s="334">
        <f t="shared" si="3"/>
        <v>1.1730205278592375E-2</v>
      </c>
      <c r="I60" s="33"/>
      <c r="J60" s="256" t="s">
        <v>211</v>
      </c>
      <c r="K60" s="593">
        <v>11</v>
      </c>
      <c r="L60" s="257">
        <f t="shared" si="5"/>
        <v>2.7918781725888325E-2</v>
      </c>
      <c r="N60" s="240"/>
      <c r="O60" s="240"/>
      <c r="P60" s="2" t="s">
        <v>212</v>
      </c>
      <c r="Q60" s="241">
        <v>3</v>
      </c>
      <c r="R60" s="241">
        <v>4</v>
      </c>
      <c r="S60" s="241">
        <v>7</v>
      </c>
      <c r="AB60" s="2">
        <v>23</v>
      </c>
      <c r="AC60" s="2">
        <v>1</v>
      </c>
    </row>
    <row r="61" spans="2:29" x14ac:dyDescent="0.4">
      <c r="B61" s="33"/>
      <c r="C61" s="339"/>
      <c r="D61" s="584" t="s">
        <v>205</v>
      </c>
      <c r="E61" s="585">
        <v>5</v>
      </c>
      <c r="F61" s="334">
        <f t="shared" si="3"/>
        <v>1.466275659824047E-2</v>
      </c>
      <c r="I61" s="33"/>
      <c r="J61" s="256" t="s">
        <v>213</v>
      </c>
      <c r="K61" s="593"/>
      <c r="L61" s="257">
        <f t="shared" si="5"/>
        <v>0</v>
      </c>
      <c r="N61" s="240"/>
      <c r="O61" s="240"/>
      <c r="P61" s="2" t="s">
        <v>214</v>
      </c>
      <c r="Q61" s="241">
        <v>2</v>
      </c>
      <c r="R61" s="241">
        <v>4</v>
      </c>
      <c r="S61" s="241">
        <v>6</v>
      </c>
      <c r="AB61" s="2">
        <v>25</v>
      </c>
      <c r="AC61" s="2">
        <v>1</v>
      </c>
    </row>
    <row r="62" spans="2:29" ht="26.65" thickBot="1" x14ac:dyDescent="0.45">
      <c r="B62" s="33"/>
      <c r="C62" s="339"/>
      <c r="D62" s="346" t="s">
        <v>215</v>
      </c>
      <c r="E62" s="583">
        <f>I50-SUM(E53:E61)-E63</f>
        <v>22</v>
      </c>
      <c r="F62" s="348">
        <f>E62/$E$64</f>
        <v>6.4516129032258063E-2</v>
      </c>
      <c r="I62" s="164"/>
      <c r="J62" s="588" t="s">
        <v>468</v>
      </c>
      <c r="K62" s="594"/>
      <c r="L62" s="589">
        <f t="shared" si="5"/>
        <v>0</v>
      </c>
      <c r="N62" s="240"/>
      <c r="O62" s="240"/>
      <c r="P62" s="2" t="s">
        <v>217</v>
      </c>
      <c r="Q62" s="241">
        <v>1</v>
      </c>
      <c r="R62" s="241"/>
      <c r="S62" s="241">
        <v>1</v>
      </c>
      <c r="AB62" s="2">
        <v>36</v>
      </c>
    </row>
    <row r="63" spans="2:29" ht="13.5" thickBot="1" x14ac:dyDescent="0.45">
      <c r="B63" s="33"/>
      <c r="C63" s="339"/>
      <c r="D63" s="352" t="s">
        <v>218</v>
      </c>
      <c r="E63" s="353">
        <v>25</v>
      </c>
      <c r="F63" s="354">
        <f>E63/$E$64</f>
        <v>7.331378299120235E-2</v>
      </c>
      <c r="I63" s="349" t="s">
        <v>216</v>
      </c>
      <c r="J63" s="350"/>
      <c r="K63" s="566">
        <f>SUM(K57:K62)</f>
        <v>341</v>
      </c>
      <c r="L63" s="351"/>
      <c r="N63" s="240"/>
      <c r="O63" s="240"/>
      <c r="P63" s="2" t="s">
        <v>220</v>
      </c>
      <c r="Q63" s="241"/>
      <c r="R63" s="241">
        <v>1</v>
      </c>
      <c r="S63" s="241">
        <v>1</v>
      </c>
      <c r="AB63" s="2">
        <f>SUM(AB55:AB62)</f>
        <v>179</v>
      </c>
      <c r="AC63" s="2">
        <f>(AC55*AB55+AB56*AC56+AC57*AB57+AB58*AC58+AC59*AB59+AB60*AC60+AC61*AB61)</f>
        <v>7129</v>
      </c>
    </row>
    <row r="64" spans="2:29" ht="13.9" thickTop="1" thickBot="1" x14ac:dyDescent="0.45">
      <c r="B64" s="164"/>
      <c r="C64" s="359"/>
      <c r="D64" s="360" t="s">
        <v>43</v>
      </c>
      <c r="E64" s="361">
        <f>SUM(E53:E63)</f>
        <v>341</v>
      </c>
      <c r="F64" s="362">
        <f>SUM(F53:F63)</f>
        <v>0.99999999999999989</v>
      </c>
      <c r="I64" s="355" t="s">
        <v>219</v>
      </c>
      <c r="J64" s="356"/>
      <c r="K64" s="595">
        <v>124</v>
      </c>
      <c r="L64" s="358">
        <f>K64/$P$50</f>
        <v>0.31472081218274112</v>
      </c>
      <c r="N64" s="240"/>
      <c r="O64" s="240"/>
      <c r="P64" s="2" t="s">
        <v>221</v>
      </c>
      <c r="Q64" s="241">
        <v>2</v>
      </c>
      <c r="R64" s="241"/>
      <c r="S64" s="241">
        <v>2</v>
      </c>
      <c r="AC64" s="2">
        <f>AC63/391</f>
        <v>18.232736572890026</v>
      </c>
    </row>
    <row r="65" spans="2:31" ht="13.5" thickBot="1" x14ac:dyDescent="0.45">
      <c r="N65" s="240"/>
      <c r="O65" s="240"/>
      <c r="P65" s="2" t="s">
        <v>223</v>
      </c>
      <c r="Q65" s="241"/>
      <c r="R65" s="241">
        <v>1</v>
      </c>
      <c r="S65" s="241">
        <v>1</v>
      </c>
    </row>
    <row r="66" spans="2:31" s="194" customFormat="1" ht="13.5" thickBot="1" x14ac:dyDescent="0.45">
      <c r="B66" s="2"/>
      <c r="C66" s="9"/>
      <c r="D66" s="170"/>
      <c r="E66" s="80"/>
      <c r="F66" s="282"/>
      <c r="G66" s="2"/>
      <c r="H66" s="2"/>
      <c r="I66" s="355" t="s">
        <v>222</v>
      </c>
      <c r="J66" s="356"/>
      <c r="K66" s="363"/>
      <c r="L66" s="364"/>
      <c r="N66" s="240"/>
      <c r="O66" s="240"/>
      <c r="P66" s="2" t="s">
        <v>224</v>
      </c>
      <c r="Q66" s="241">
        <v>1</v>
      </c>
      <c r="R66" s="241"/>
      <c r="S66" s="241">
        <v>1</v>
      </c>
    </row>
    <row r="67" spans="2:31" s="194" customFormat="1" x14ac:dyDescent="0.4">
      <c r="B67" s="654" t="s">
        <v>225</v>
      </c>
      <c r="C67" s="655"/>
      <c r="D67" s="655"/>
      <c r="E67" s="655"/>
      <c r="F67" s="655"/>
      <c r="G67" s="655"/>
      <c r="H67" s="655"/>
      <c r="I67" s="655"/>
      <c r="J67" s="655"/>
      <c r="K67" s="655"/>
      <c r="L67" s="655"/>
      <c r="N67" s="240"/>
      <c r="O67" s="240"/>
      <c r="P67" s="2" t="s">
        <v>226</v>
      </c>
      <c r="Q67" s="241"/>
      <c r="R67" s="241">
        <v>1</v>
      </c>
      <c r="S67" s="241">
        <v>1</v>
      </c>
    </row>
    <row r="68" spans="2:31" ht="13.5" thickBot="1" x14ac:dyDescent="0.45">
      <c r="B68" s="365"/>
      <c r="C68" s="365"/>
      <c r="D68" s="366"/>
      <c r="E68" s="366"/>
      <c r="F68" s="366"/>
      <c r="G68" s="365"/>
      <c r="H68" s="365"/>
      <c r="I68" s="367"/>
      <c r="J68" s="367"/>
      <c r="K68" s="367"/>
      <c r="L68" s="367"/>
      <c r="N68" s="240"/>
      <c r="O68" s="240"/>
      <c r="P68" s="2" t="s">
        <v>227</v>
      </c>
      <c r="Q68" s="241">
        <v>1</v>
      </c>
      <c r="R68" s="241"/>
      <c r="S68" s="241">
        <v>1</v>
      </c>
    </row>
    <row r="69" spans="2:31" ht="14.65" thickBot="1" x14ac:dyDescent="0.5">
      <c r="B69" s="321" t="s">
        <v>228</v>
      </c>
      <c r="C69" s="328"/>
      <c r="D69" s="328"/>
      <c r="E69" s="328"/>
      <c r="F69" s="368"/>
      <c r="G69" s="6"/>
      <c r="I69" s="369" t="s">
        <v>229</v>
      </c>
      <c r="J69" s="327"/>
      <c r="K69" s="328"/>
      <c r="L69" s="329"/>
      <c r="N69" s="240"/>
      <c r="O69" s="240"/>
      <c r="P69" s="2" t="s">
        <v>230</v>
      </c>
      <c r="Q69" s="241"/>
      <c r="R69" s="241">
        <v>2</v>
      </c>
      <c r="S69" s="241">
        <v>2</v>
      </c>
      <c r="Z69" s="370" t="s">
        <v>189</v>
      </c>
      <c r="AA69" s="370" t="s">
        <v>231</v>
      </c>
      <c r="AB69" s="370" t="s">
        <v>232</v>
      </c>
      <c r="AC69" s="370" t="s">
        <v>118</v>
      </c>
      <c r="AD69" s="370" t="s">
        <v>119</v>
      </c>
      <c r="AE69" s="370" t="s">
        <v>120</v>
      </c>
    </row>
    <row r="70" spans="2:31" ht="13.5" thickBot="1" x14ac:dyDescent="0.45">
      <c r="B70" s="371"/>
      <c r="C70" s="372"/>
      <c r="D70" s="656" t="s">
        <v>233</v>
      </c>
      <c r="E70" s="657"/>
      <c r="F70" s="656" t="s">
        <v>234</v>
      </c>
      <c r="G70" s="657"/>
      <c r="I70" s="373"/>
      <c r="J70" s="374"/>
      <c r="K70" s="375" t="s">
        <v>161</v>
      </c>
      <c r="L70" s="376" t="s">
        <v>235</v>
      </c>
      <c r="N70" s="240"/>
      <c r="O70" s="240"/>
      <c r="P70" s="2" t="s">
        <v>236</v>
      </c>
      <c r="Q70" s="241"/>
      <c r="R70" s="241">
        <v>1</v>
      </c>
      <c r="S70" s="241">
        <v>1</v>
      </c>
      <c r="Z70" s="377" t="s">
        <v>194</v>
      </c>
      <c r="AA70" s="377" t="s">
        <v>237</v>
      </c>
      <c r="AB70" s="2" t="s">
        <v>238</v>
      </c>
      <c r="AC70" s="241">
        <v>7</v>
      </c>
      <c r="AD70" s="241">
        <v>10</v>
      </c>
      <c r="AE70" s="241">
        <v>17</v>
      </c>
    </row>
    <row r="71" spans="2:31" ht="13.9" thickTop="1" thickBot="1" x14ac:dyDescent="0.45">
      <c r="B71" s="349"/>
      <c r="C71" s="378"/>
      <c r="D71" s="379" t="s">
        <v>161</v>
      </c>
      <c r="E71" s="380" t="s">
        <v>162</v>
      </c>
      <c r="F71" s="379" t="s">
        <v>161</v>
      </c>
      <c r="G71" s="380" t="s">
        <v>162</v>
      </c>
      <c r="I71" s="33" t="s">
        <v>239</v>
      </c>
      <c r="J71" s="23"/>
      <c r="K71" s="596">
        <v>12</v>
      </c>
      <c r="L71" s="382">
        <f t="shared" ref="L71:L76" si="6">K71/K$86</f>
        <v>3.6253776435045321E-2</v>
      </c>
      <c r="N71" s="240"/>
      <c r="O71" s="240"/>
      <c r="P71" s="2" t="s">
        <v>240</v>
      </c>
      <c r="Q71" s="241">
        <v>1</v>
      </c>
      <c r="R71" s="241">
        <v>1</v>
      </c>
      <c r="S71" s="241">
        <v>2</v>
      </c>
      <c r="U71" s="234" t="s">
        <v>241</v>
      </c>
      <c r="V71" s="234" t="s">
        <v>242</v>
      </c>
      <c r="W71" s="234" t="s">
        <v>243</v>
      </c>
      <c r="Z71" s="383"/>
      <c r="AA71" s="377"/>
      <c r="AB71" s="2" t="s">
        <v>244</v>
      </c>
      <c r="AC71" s="241">
        <v>2</v>
      </c>
      <c r="AD71" s="241"/>
      <c r="AE71" s="241">
        <v>2</v>
      </c>
    </row>
    <row r="72" spans="2:31" x14ac:dyDescent="0.4">
      <c r="B72" s="384" t="s">
        <v>245</v>
      </c>
      <c r="C72" s="385"/>
      <c r="D72" s="623">
        <v>4</v>
      </c>
      <c r="E72" s="387">
        <f t="shared" ref="E72:E80" si="7">D72/D$115</f>
        <v>1.1730205278592375E-2</v>
      </c>
      <c r="F72" s="386"/>
      <c r="G72" s="387" t="e">
        <f t="shared" ref="G72:G80" si="8">F72/F$115</f>
        <v>#DIV/0!</v>
      </c>
      <c r="I72" s="33" t="s">
        <v>246</v>
      </c>
      <c r="J72" s="23"/>
      <c r="K72" s="596">
        <v>15</v>
      </c>
      <c r="L72" s="382">
        <f t="shared" si="6"/>
        <v>4.5317220543806644E-2</v>
      </c>
      <c r="N72" s="240"/>
      <c r="O72" s="240"/>
      <c r="P72" s="2" t="s">
        <v>247</v>
      </c>
      <c r="Q72" s="241">
        <v>1</v>
      </c>
      <c r="R72" s="241"/>
      <c r="S72" s="241">
        <v>1</v>
      </c>
      <c r="U72" s="2" t="s">
        <v>248</v>
      </c>
      <c r="V72" s="241">
        <v>8</v>
      </c>
      <c r="W72" s="241">
        <v>5</v>
      </c>
      <c r="Z72" s="383"/>
      <c r="AA72" s="388" t="s">
        <v>249</v>
      </c>
      <c r="AB72" s="388"/>
      <c r="AC72" s="389">
        <v>9</v>
      </c>
      <c r="AD72" s="389">
        <v>10</v>
      </c>
      <c r="AE72" s="389">
        <v>19</v>
      </c>
    </row>
    <row r="73" spans="2:31" x14ac:dyDescent="0.4">
      <c r="B73" s="390" t="s">
        <v>250</v>
      </c>
      <c r="C73" s="391"/>
      <c r="D73" s="623">
        <v>5</v>
      </c>
      <c r="E73" s="387">
        <f t="shared" si="7"/>
        <v>1.466275659824047E-2</v>
      </c>
      <c r="F73" s="386"/>
      <c r="G73" s="387" t="e">
        <f t="shared" si="8"/>
        <v>#DIV/0!</v>
      </c>
      <c r="I73" s="33" t="s">
        <v>251</v>
      </c>
      <c r="J73" s="23"/>
      <c r="K73" s="596">
        <v>2</v>
      </c>
      <c r="L73" s="382">
        <f t="shared" si="6"/>
        <v>6.0422960725075529E-3</v>
      </c>
      <c r="N73" s="240"/>
      <c r="O73" s="240"/>
      <c r="P73" s="2" t="s">
        <v>252</v>
      </c>
      <c r="Q73" s="241">
        <v>1</v>
      </c>
      <c r="R73" s="241"/>
      <c r="S73" s="241">
        <v>1</v>
      </c>
      <c r="U73" s="2" t="s">
        <v>253</v>
      </c>
      <c r="V73" s="241">
        <v>4</v>
      </c>
      <c r="W73" s="241">
        <v>6</v>
      </c>
      <c r="Z73" s="383"/>
      <c r="AA73" s="377" t="s">
        <v>254</v>
      </c>
      <c r="AB73" s="2" t="s">
        <v>255</v>
      </c>
      <c r="AC73" s="241">
        <v>9</v>
      </c>
      <c r="AD73" s="241">
        <v>11</v>
      </c>
      <c r="AE73" s="241">
        <v>20</v>
      </c>
    </row>
    <row r="74" spans="2:31" x14ac:dyDescent="0.4">
      <c r="B74" s="393" t="s">
        <v>256</v>
      </c>
      <c r="C74" s="394"/>
      <c r="D74" s="623">
        <v>9</v>
      </c>
      <c r="E74" s="396">
        <f t="shared" si="7"/>
        <v>2.6392961876832845E-2</v>
      </c>
      <c r="F74" s="386"/>
      <c r="G74" s="396" t="e">
        <f t="shared" si="8"/>
        <v>#DIV/0!</v>
      </c>
      <c r="I74" s="33" t="s">
        <v>257</v>
      </c>
      <c r="J74" s="23"/>
      <c r="K74" s="596">
        <v>6</v>
      </c>
      <c r="L74" s="382">
        <f t="shared" si="6"/>
        <v>1.812688821752266E-2</v>
      </c>
      <c r="N74" s="240"/>
      <c r="O74" s="240"/>
      <c r="P74" s="2" t="s">
        <v>258</v>
      </c>
      <c r="Q74" s="241">
        <v>1</v>
      </c>
      <c r="R74" s="241">
        <v>1</v>
      </c>
      <c r="S74" s="241">
        <v>2</v>
      </c>
      <c r="U74" s="2" t="s">
        <v>259</v>
      </c>
      <c r="V74" s="241">
        <v>8</v>
      </c>
      <c r="W74" s="241">
        <v>4</v>
      </c>
      <c r="Z74" s="383"/>
      <c r="AA74" s="377"/>
      <c r="AB74" s="2" t="s">
        <v>260</v>
      </c>
      <c r="AC74" s="241">
        <v>7</v>
      </c>
      <c r="AD74" s="241">
        <v>7</v>
      </c>
      <c r="AE74" s="241">
        <v>14</v>
      </c>
    </row>
    <row r="75" spans="2:31" x14ac:dyDescent="0.4">
      <c r="B75" s="390" t="s">
        <v>261</v>
      </c>
      <c r="C75" s="391"/>
      <c r="D75" s="623">
        <v>9</v>
      </c>
      <c r="E75" s="387">
        <f t="shared" si="7"/>
        <v>2.6392961876832845E-2</v>
      </c>
      <c r="F75" s="386"/>
      <c r="G75" s="387" t="e">
        <f t="shared" si="8"/>
        <v>#DIV/0!</v>
      </c>
      <c r="I75" s="33" t="s">
        <v>262</v>
      </c>
      <c r="J75" s="23"/>
      <c r="K75" s="596">
        <v>18</v>
      </c>
      <c r="L75" s="382">
        <f t="shared" si="6"/>
        <v>5.4380664652567974E-2</v>
      </c>
      <c r="N75" s="240"/>
      <c r="O75" s="240"/>
      <c r="P75" s="2" t="s">
        <v>263</v>
      </c>
      <c r="Q75" s="241"/>
      <c r="R75" s="241">
        <v>2</v>
      </c>
      <c r="S75" s="241">
        <v>2</v>
      </c>
      <c r="U75" s="2" t="s">
        <v>264</v>
      </c>
      <c r="V75" s="241">
        <v>11</v>
      </c>
      <c r="W75" s="241">
        <v>8</v>
      </c>
      <c r="Z75" s="383"/>
      <c r="AA75" s="377"/>
      <c r="AB75" s="2" t="s">
        <v>265</v>
      </c>
      <c r="AC75" s="241"/>
      <c r="AD75" s="241">
        <v>1</v>
      </c>
      <c r="AE75" s="241">
        <v>1</v>
      </c>
    </row>
    <row r="76" spans="2:31" ht="13.5" thickBot="1" x14ac:dyDescent="0.45">
      <c r="B76" s="390" t="s">
        <v>266</v>
      </c>
      <c r="C76" s="391"/>
      <c r="D76" s="623">
        <v>0</v>
      </c>
      <c r="E76" s="387">
        <f t="shared" si="7"/>
        <v>0</v>
      </c>
      <c r="F76" s="386"/>
      <c r="G76" s="387" t="e">
        <f t="shared" si="8"/>
        <v>#DIV/0!</v>
      </c>
      <c r="I76" s="397" t="s">
        <v>267</v>
      </c>
      <c r="J76" s="398"/>
      <c r="K76" s="399">
        <f>SUM(K71:K75)</f>
        <v>53</v>
      </c>
      <c r="L76" s="400">
        <f t="shared" si="6"/>
        <v>0.16012084592145015</v>
      </c>
      <c r="N76" s="240"/>
      <c r="O76" s="240"/>
      <c r="P76" s="2" t="s">
        <v>268</v>
      </c>
      <c r="Q76" s="241"/>
      <c r="R76" s="241">
        <v>1</v>
      </c>
      <c r="S76" s="241">
        <v>1</v>
      </c>
      <c r="U76" s="2" t="s">
        <v>269</v>
      </c>
      <c r="V76" s="241">
        <v>2</v>
      </c>
      <c r="W76" s="241">
        <v>2</v>
      </c>
      <c r="Z76" s="383"/>
      <c r="AA76" s="377"/>
      <c r="AB76" s="2" t="s">
        <v>238</v>
      </c>
      <c r="AC76" s="241">
        <v>4</v>
      </c>
      <c r="AD76" s="241">
        <v>3</v>
      </c>
      <c r="AE76" s="241">
        <v>7</v>
      </c>
    </row>
    <row r="77" spans="2:31" ht="13.9" thickTop="1" thickBot="1" x14ac:dyDescent="0.45">
      <c r="B77" s="393" t="s">
        <v>270</v>
      </c>
      <c r="C77" s="394"/>
      <c r="D77" s="623"/>
      <c r="E77" s="396">
        <f t="shared" si="7"/>
        <v>0</v>
      </c>
      <c r="F77" s="386"/>
      <c r="G77" s="396" t="e">
        <f t="shared" si="8"/>
        <v>#DIV/0!</v>
      </c>
      <c r="I77" s="401" t="s">
        <v>213</v>
      </c>
      <c r="J77" s="402"/>
      <c r="K77" s="597">
        <v>9</v>
      </c>
      <c r="L77" s="404"/>
      <c r="N77" s="240"/>
      <c r="O77" s="240"/>
      <c r="P77" s="2" t="s">
        <v>271</v>
      </c>
      <c r="Q77" s="241"/>
      <c r="R77" s="241">
        <v>2</v>
      </c>
      <c r="S77" s="241">
        <v>2</v>
      </c>
      <c r="U77" s="2" t="s">
        <v>272</v>
      </c>
      <c r="V77" s="241">
        <v>2</v>
      </c>
      <c r="W77" s="241">
        <v>2</v>
      </c>
      <c r="Z77" s="383"/>
      <c r="AA77" s="377"/>
      <c r="AB77" s="2" t="s">
        <v>273</v>
      </c>
      <c r="AC77" s="241">
        <v>4</v>
      </c>
      <c r="AD77" s="241">
        <v>7</v>
      </c>
      <c r="AE77" s="241">
        <v>11</v>
      </c>
    </row>
    <row r="78" spans="2:31" ht="13.9" thickTop="1" thickBot="1" x14ac:dyDescent="0.45">
      <c r="B78" s="390" t="s">
        <v>51</v>
      </c>
      <c r="C78" s="391"/>
      <c r="D78" s="623">
        <v>2</v>
      </c>
      <c r="E78" s="387">
        <f t="shared" si="7"/>
        <v>5.8651026392961877E-3</v>
      </c>
      <c r="F78" s="386"/>
      <c r="G78" s="387" t="e">
        <f t="shared" si="8"/>
        <v>#DIV/0!</v>
      </c>
      <c r="I78" s="397" t="s">
        <v>274</v>
      </c>
      <c r="J78" s="398"/>
      <c r="K78" s="399">
        <v>255</v>
      </c>
      <c r="L78" s="400">
        <f>K78/K$86</f>
        <v>0.77039274924471302</v>
      </c>
      <c r="N78" s="240"/>
      <c r="O78" s="240"/>
      <c r="P78" s="2" t="s">
        <v>275</v>
      </c>
      <c r="Q78" s="241"/>
      <c r="R78" s="241">
        <v>2</v>
      </c>
      <c r="S78" s="241">
        <v>2</v>
      </c>
      <c r="U78" s="2" t="s">
        <v>276</v>
      </c>
      <c r="V78" s="241">
        <v>6</v>
      </c>
      <c r="W78" s="241">
        <v>9</v>
      </c>
      <c r="Z78" s="383"/>
      <c r="AA78" s="377"/>
      <c r="AB78" s="2" t="s">
        <v>277</v>
      </c>
      <c r="AC78" s="241">
        <v>148</v>
      </c>
      <c r="AD78" s="241">
        <v>174</v>
      </c>
      <c r="AE78" s="241">
        <v>322</v>
      </c>
    </row>
    <row r="79" spans="2:31" ht="13.9" thickTop="1" thickBot="1" x14ac:dyDescent="0.45">
      <c r="B79" s="390" t="s">
        <v>278</v>
      </c>
      <c r="C79" s="391"/>
      <c r="D79" s="623">
        <v>6</v>
      </c>
      <c r="E79" s="387">
        <f t="shared" si="7"/>
        <v>1.7595307917888565E-2</v>
      </c>
      <c r="F79" s="386"/>
      <c r="G79" s="387" t="e">
        <f t="shared" si="8"/>
        <v>#DIV/0!</v>
      </c>
      <c r="I79" s="405"/>
      <c r="J79" s="402"/>
      <c r="K79" s="406"/>
      <c r="L79" s="407"/>
      <c r="N79" s="240"/>
      <c r="O79" s="240"/>
      <c r="P79" s="2" t="s">
        <v>279</v>
      </c>
      <c r="Q79" s="241">
        <v>1</v>
      </c>
      <c r="R79" s="241"/>
      <c r="S79" s="241">
        <v>1</v>
      </c>
      <c r="U79" s="2" t="s">
        <v>280</v>
      </c>
      <c r="V79" s="241">
        <v>9</v>
      </c>
      <c r="W79" s="241">
        <v>5</v>
      </c>
      <c r="Z79" s="383"/>
      <c r="AA79" s="377"/>
      <c r="AB79" s="2" t="s">
        <v>244</v>
      </c>
      <c r="AC79" s="241">
        <v>6</v>
      </c>
      <c r="AD79" s="241">
        <v>2</v>
      </c>
      <c r="AE79" s="241">
        <v>8</v>
      </c>
    </row>
    <row r="80" spans="2:31" ht="13.9" thickTop="1" thickBot="1" x14ac:dyDescent="0.45">
      <c r="B80" s="393" t="s">
        <v>281</v>
      </c>
      <c r="C80" s="394"/>
      <c r="D80" s="623"/>
      <c r="E80" s="396">
        <f t="shared" si="7"/>
        <v>0</v>
      </c>
      <c r="F80" s="386"/>
      <c r="G80" s="396" t="e">
        <f t="shared" si="8"/>
        <v>#DIV/0!</v>
      </c>
      <c r="I80" s="397" t="s">
        <v>282</v>
      </c>
      <c r="J80" s="398"/>
      <c r="K80" s="399">
        <f>SUM(K81:K85)</f>
        <v>24</v>
      </c>
      <c r="L80" s="400">
        <f>K80/K$86</f>
        <v>7.2507552870090641E-2</v>
      </c>
      <c r="N80" s="240"/>
      <c r="O80" s="240"/>
      <c r="P80" s="2" t="s">
        <v>283</v>
      </c>
      <c r="Q80" s="241"/>
      <c r="R80" s="241">
        <v>1</v>
      </c>
      <c r="S80" s="241">
        <v>1</v>
      </c>
      <c r="Z80" s="408"/>
      <c r="AA80" s="388" t="s">
        <v>284</v>
      </c>
      <c r="AB80" s="388"/>
      <c r="AC80" s="389">
        <v>178</v>
      </c>
      <c r="AD80" s="389">
        <v>205</v>
      </c>
      <c r="AE80" s="389">
        <v>383</v>
      </c>
    </row>
    <row r="81" spans="2:32" ht="13.5" thickTop="1" x14ac:dyDescent="0.4">
      <c r="B81" s="608" t="s">
        <v>476</v>
      </c>
      <c r="C81" s="609"/>
      <c r="D81" s="624">
        <v>1</v>
      </c>
      <c r="E81" s="412">
        <f t="shared" ref="E81:E82" si="9">D81/D$115</f>
        <v>2.9325513196480938E-3</v>
      </c>
      <c r="F81" s="413"/>
      <c r="G81" s="412"/>
      <c r="I81" s="33"/>
      <c r="J81" s="23" t="s">
        <v>472</v>
      </c>
      <c r="K81" s="596">
        <v>18</v>
      </c>
      <c r="L81" s="382"/>
      <c r="N81" s="240"/>
      <c r="O81" s="240"/>
      <c r="P81" s="2" t="s">
        <v>285</v>
      </c>
      <c r="Q81" s="241">
        <v>1</v>
      </c>
      <c r="R81" s="241"/>
      <c r="S81" s="241">
        <v>1</v>
      </c>
      <c r="Z81" s="414" t="s">
        <v>286</v>
      </c>
      <c r="AA81" s="414"/>
      <c r="AB81" s="414"/>
      <c r="AC81" s="415">
        <v>187</v>
      </c>
      <c r="AD81" s="415">
        <v>215</v>
      </c>
      <c r="AE81" s="415">
        <v>402</v>
      </c>
    </row>
    <row r="82" spans="2:32" x14ac:dyDescent="0.4">
      <c r="B82" s="610" t="s">
        <v>477</v>
      </c>
      <c r="C82" s="611"/>
      <c r="D82" s="623">
        <v>4</v>
      </c>
      <c r="E82" s="387">
        <f t="shared" si="9"/>
        <v>1.1730205278592375E-2</v>
      </c>
      <c r="F82" s="386"/>
      <c r="G82" s="387"/>
      <c r="I82" s="421"/>
      <c r="J82" s="23" t="s">
        <v>469</v>
      </c>
      <c r="K82" s="598">
        <v>3</v>
      </c>
      <c r="L82" s="423"/>
      <c r="N82" s="240"/>
      <c r="O82" s="240"/>
      <c r="P82" s="2" t="s">
        <v>289</v>
      </c>
      <c r="Q82" s="241"/>
      <c r="R82" s="241">
        <v>1</v>
      </c>
      <c r="S82" s="241">
        <v>1</v>
      </c>
    </row>
    <row r="83" spans="2:32" ht="13.5" thickBot="1" x14ac:dyDescent="0.45">
      <c r="B83" s="416" t="s">
        <v>287</v>
      </c>
      <c r="C83" s="417"/>
      <c r="D83" s="625">
        <f>SUM(D72:D82)</f>
        <v>40</v>
      </c>
      <c r="E83" s="419">
        <f>D83/D$115</f>
        <v>0.11730205278592376</v>
      </c>
      <c r="F83" s="420">
        <f>SUM(F72:F82)</f>
        <v>0</v>
      </c>
      <c r="G83" s="419" t="e">
        <f>F83/F$115</f>
        <v>#DIV/0!</v>
      </c>
      <c r="I83" s="33"/>
      <c r="J83" s="23" t="s">
        <v>470</v>
      </c>
      <c r="K83" s="599">
        <v>0</v>
      </c>
      <c r="L83" s="27"/>
      <c r="N83" s="240"/>
      <c r="O83" s="240"/>
      <c r="P83" s="2" t="s">
        <v>291</v>
      </c>
      <c r="Q83" s="241"/>
      <c r="R83" s="241">
        <v>2</v>
      </c>
      <c r="S83" s="241">
        <v>2</v>
      </c>
    </row>
    <row r="84" spans="2:32" ht="13.5" thickTop="1" x14ac:dyDescent="0.4">
      <c r="B84" s="424"/>
      <c r="C84" s="425"/>
      <c r="D84" s="626"/>
      <c r="E84" s="427"/>
      <c r="F84" s="428"/>
      <c r="G84" s="427"/>
      <c r="I84" s="33"/>
      <c r="J84" s="23" t="s">
        <v>288</v>
      </c>
      <c r="K84" s="599">
        <v>1</v>
      </c>
      <c r="L84" s="27"/>
      <c r="N84" s="240"/>
      <c r="O84" s="240" t="s">
        <v>237</v>
      </c>
      <c r="P84" s="2" t="s">
        <v>294</v>
      </c>
      <c r="Q84" s="241">
        <v>1</v>
      </c>
      <c r="R84" s="241"/>
      <c r="S84" s="241">
        <v>1</v>
      </c>
      <c r="U84" s="2" t="s">
        <v>295</v>
      </c>
      <c r="V84" s="241">
        <v>40</v>
      </c>
      <c r="W84" s="241">
        <v>35</v>
      </c>
    </row>
    <row r="85" spans="2:32" x14ac:dyDescent="0.4">
      <c r="B85" s="390" t="s">
        <v>292</v>
      </c>
      <c r="C85" s="391"/>
      <c r="D85" s="623">
        <v>38</v>
      </c>
      <c r="E85" s="387">
        <f t="shared" ref="E85:E91" si="10">D85/D$115</f>
        <v>0.11143695014662756</v>
      </c>
      <c r="F85" s="386"/>
      <c r="G85" s="387" t="e">
        <f t="shared" ref="G85:G91" si="11">F85/F$115</f>
        <v>#DIV/0!</v>
      </c>
      <c r="I85" s="33"/>
      <c r="J85" s="23" t="s">
        <v>471</v>
      </c>
      <c r="K85" s="599">
        <v>2</v>
      </c>
      <c r="L85" s="27"/>
      <c r="N85" s="240"/>
      <c r="O85" s="240"/>
      <c r="P85" s="2" t="s">
        <v>297</v>
      </c>
      <c r="Q85" s="241">
        <v>6</v>
      </c>
      <c r="R85" s="241">
        <v>5</v>
      </c>
      <c r="S85" s="241">
        <v>11</v>
      </c>
      <c r="U85" s="2" t="s">
        <v>298</v>
      </c>
      <c r="V85" s="241">
        <v>20</v>
      </c>
      <c r="W85" s="241">
        <v>17</v>
      </c>
    </row>
    <row r="86" spans="2:32" ht="13.5" thickBot="1" x14ac:dyDescent="0.45">
      <c r="B86" s="390" t="s">
        <v>55</v>
      </c>
      <c r="C86" s="391"/>
      <c r="D86" s="623">
        <v>28</v>
      </c>
      <c r="E86" s="387">
        <f t="shared" si="10"/>
        <v>8.2111436950146624E-2</v>
      </c>
      <c r="F86" s="386"/>
      <c r="G86" s="387" t="e">
        <f t="shared" si="11"/>
        <v>#DIV/0!</v>
      </c>
      <c r="I86" s="429" t="s">
        <v>290</v>
      </c>
      <c r="J86" s="430"/>
      <c r="K86" s="431">
        <f>K76+K78+SUM(K81:K83,K85)</f>
        <v>331</v>
      </c>
      <c r="L86" s="432">
        <f>K86/K$88</f>
        <v>0.97067448680351909</v>
      </c>
      <c r="N86" s="240"/>
      <c r="O86" s="240"/>
      <c r="P86" s="2" t="s">
        <v>300</v>
      </c>
      <c r="Q86" s="241"/>
      <c r="R86" s="241">
        <v>1</v>
      </c>
      <c r="S86" s="241">
        <v>1</v>
      </c>
      <c r="U86" s="2" t="s">
        <v>301</v>
      </c>
      <c r="V86" s="241">
        <v>14</v>
      </c>
      <c r="W86" s="241">
        <v>13</v>
      </c>
    </row>
    <row r="87" spans="2:32" ht="13.5" thickBot="1" x14ac:dyDescent="0.45">
      <c r="B87" s="393" t="s">
        <v>299</v>
      </c>
      <c r="C87" s="394"/>
      <c r="D87" s="623">
        <v>11</v>
      </c>
      <c r="E87" s="396">
        <f t="shared" si="10"/>
        <v>3.2258064516129031E-2</v>
      </c>
      <c r="F87" s="386"/>
      <c r="G87" s="396" t="e">
        <f t="shared" si="11"/>
        <v>#DIV/0!</v>
      </c>
      <c r="H87" s="170"/>
      <c r="I87" s="373" t="s">
        <v>293</v>
      </c>
      <c r="J87" s="433"/>
      <c r="K87" s="434">
        <f>K77+K84</f>
        <v>10</v>
      </c>
      <c r="L87" s="600">
        <f>K87/K88</f>
        <v>2.932551319648094E-2</v>
      </c>
      <c r="N87" s="240"/>
      <c r="O87" s="240"/>
      <c r="P87" s="2" t="s">
        <v>303</v>
      </c>
      <c r="Q87" s="241">
        <v>1</v>
      </c>
      <c r="R87" s="241">
        <v>3</v>
      </c>
      <c r="S87" s="241">
        <v>4</v>
      </c>
      <c r="U87" s="2" t="s">
        <v>304</v>
      </c>
      <c r="V87" s="241">
        <v>9</v>
      </c>
      <c r="W87" s="241">
        <v>5</v>
      </c>
      <c r="AB87" s="2" t="s">
        <v>305</v>
      </c>
      <c r="AC87" s="2" t="s">
        <v>306</v>
      </c>
    </row>
    <row r="88" spans="2:32" ht="13.9" thickTop="1" thickBot="1" x14ac:dyDescent="0.45">
      <c r="B88" s="390" t="s">
        <v>302</v>
      </c>
      <c r="C88" s="391"/>
      <c r="D88" s="623">
        <v>11</v>
      </c>
      <c r="E88" s="387">
        <f t="shared" si="10"/>
        <v>3.2258064516129031E-2</v>
      </c>
      <c r="F88" s="386"/>
      <c r="G88" s="387" t="e">
        <f t="shared" si="11"/>
        <v>#DIV/0!</v>
      </c>
      <c r="I88" s="429" t="s">
        <v>296</v>
      </c>
      <c r="J88" s="430"/>
      <c r="K88" s="435">
        <f>SUM(K86:K87)</f>
        <v>341</v>
      </c>
      <c r="L88" s="436"/>
      <c r="N88" s="240"/>
      <c r="O88" s="240"/>
      <c r="P88" s="2" t="s">
        <v>308</v>
      </c>
      <c r="Q88" s="241">
        <v>2</v>
      </c>
      <c r="R88" s="241"/>
      <c r="S88" s="241">
        <v>2</v>
      </c>
      <c r="U88" s="2" t="s">
        <v>309</v>
      </c>
      <c r="V88" s="241">
        <v>19</v>
      </c>
      <c r="W88" s="241">
        <v>13</v>
      </c>
      <c r="AB88" s="2">
        <v>391</v>
      </c>
      <c r="AC88" s="2" t="s">
        <v>43</v>
      </c>
      <c r="AE88" s="2">
        <v>2</v>
      </c>
      <c r="AF88" s="437" t="s">
        <v>310</v>
      </c>
    </row>
    <row r="89" spans="2:32" ht="13.5" thickBot="1" x14ac:dyDescent="0.45">
      <c r="B89" s="390" t="s">
        <v>307</v>
      </c>
      <c r="C89" s="391"/>
      <c r="D89" s="623">
        <v>19</v>
      </c>
      <c r="E89" s="387">
        <f t="shared" si="10"/>
        <v>5.5718475073313782E-2</v>
      </c>
      <c r="F89" s="386"/>
      <c r="G89" s="387" t="e">
        <f t="shared" si="11"/>
        <v>#DIV/0!</v>
      </c>
      <c r="N89" s="240"/>
      <c r="O89" s="240"/>
      <c r="P89" s="2" t="s">
        <v>312</v>
      </c>
      <c r="Q89" s="241">
        <v>1</v>
      </c>
      <c r="R89" s="241"/>
      <c r="S89" s="241">
        <v>1</v>
      </c>
      <c r="U89" s="2" t="s">
        <v>313</v>
      </c>
      <c r="V89" s="241">
        <v>7</v>
      </c>
      <c r="W89" s="241">
        <v>5</v>
      </c>
      <c r="AB89" s="2">
        <v>52</v>
      </c>
      <c r="AC89" s="437" t="s">
        <v>314</v>
      </c>
      <c r="AE89" s="2">
        <v>2</v>
      </c>
      <c r="AF89" s="437" t="s">
        <v>315</v>
      </c>
    </row>
    <row r="90" spans="2:32" ht="14.65" thickBot="1" x14ac:dyDescent="0.5">
      <c r="B90" s="393" t="s">
        <v>311</v>
      </c>
      <c r="C90" s="394"/>
      <c r="D90" s="623">
        <v>8</v>
      </c>
      <c r="E90" s="396">
        <f t="shared" si="10"/>
        <v>2.3460410557184751E-2</v>
      </c>
      <c r="F90" s="386"/>
      <c r="G90" s="396" t="e">
        <f t="shared" si="11"/>
        <v>#DIV/0!</v>
      </c>
      <c r="I90" s="369" t="s">
        <v>317</v>
      </c>
      <c r="J90" s="327"/>
      <c r="K90" s="328"/>
      <c r="L90" s="329"/>
      <c r="N90" s="240"/>
      <c r="O90" s="240"/>
      <c r="P90" s="2" t="s">
        <v>318</v>
      </c>
      <c r="Q90" s="241">
        <v>1</v>
      </c>
      <c r="R90" s="241"/>
      <c r="S90" s="241">
        <v>1</v>
      </c>
      <c r="AB90" s="2">
        <v>25</v>
      </c>
      <c r="AC90" s="437" t="s">
        <v>319</v>
      </c>
      <c r="AE90" s="2">
        <v>2</v>
      </c>
      <c r="AF90" s="437" t="s">
        <v>320</v>
      </c>
    </row>
    <row r="91" spans="2:32" ht="13.5" thickBot="1" x14ac:dyDescent="0.45">
      <c r="B91" s="390" t="s">
        <v>316</v>
      </c>
      <c r="C91" s="391"/>
      <c r="D91" s="627"/>
      <c r="E91" s="387">
        <f t="shared" si="10"/>
        <v>0</v>
      </c>
      <c r="F91" s="438"/>
      <c r="G91" s="387" t="e">
        <f t="shared" si="11"/>
        <v>#DIV/0!</v>
      </c>
      <c r="I91" s="10"/>
      <c r="J91" s="439"/>
      <c r="K91" s="440" t="s">
        <v>161</v>
      </c>
      <c r="L91" s="441" t="s">
        <v>162</v>
      </c>
      <c r="N91" s="263"/>
      <c r="O91" s="240"/>
      <c r="P91" s="2" t="s">
        <v>321</v>
      </c>
      <c r="Q91" s="241">
        <v>1</v>
      </c>
      <c r="R91" s="241">
        <v>2</v>
      </c>
      <c r="S91" s="241">
        <v>3</v>
      </c>
      <c r="AB91" s="2">
        <v>24</v>
      </c>
      <c r="AC91" s="437" t="s">
        <v>322</v>
      </c>
      <c r="AE91" s="2">
        <v>1</v>
      </c>
      <c r="AF91" s="437" t="s">
        <v>323</v>
      </c>
    </row>
    <row r="92" spans="2:32" x14ac:dyDescent="0.4">
      <c r="B92" s="409"/>
      <c r="C92" s="410"/>
      <c r="D92" s="624"/>
      <c r="E92" s="412"/>
      <c r="F92" s="413"/>
      <c r="G92" s="412"/>
      <c r="H92" s="171"/>
      <c r="I92" s="442" t="s">
        <v>325</v>
      </c>
      <c r="J92" s="443"/>
      <c r="K92" s="596">
        <v>0</v>
      </c>
      <c r="L92" s="382">
        <f t="shared" ref="L92:L105" si="12">K92/K$116</f>
        <v>0</v>
      </c>
      <c r="N92" s="266" t="s">
        <v>286</v>
      </c>
      <c r="O92" s="266"/>
      <c r="P92" s="266"/>
      <c r="Q92" s="267">
        <v>187</v>
      </c>
      <c r="R92" s="267">
        <v>215</v>
      </c>
      <c r="S92" s="267">
        <v>402</v>
      </c>
      <c r="AB92" s="2">
        <v>22</v>
      </c>
      <c r="AC92" s="437" t="s">
        <v>326</v>
      </c>
      <c r="AE92" s="2">
        <v>1</v>
      </c>
      <c r="AF92" s="437" t="s">
        <v>327</v>
      </c>
    </row>
    <row r="93" spans="2:32" ht="13.5" thickBot="1" x14ac:dyDescent="0.45">
      <c r="B93" s="416" t="s">
        <v>324</v>
      </c>
      <c r="C93" s="417"/>
      <c r="D93" s="625">
        <f>SUM(D85:D91)</f>
        <v>115</v>
      </c>
      <c r="E93" s="419">
        <f>D93/D$115</f>
        <v>0.33724340175953077</v>
      </c>
      <c r="F93" s="420">
        <f>SUM(F85:F91)</f>
        <v>0</v>
      </c>
      <c r="G93" s="419" t="e">
        <f>F93/F$115</f>
        <v>#DIV/0!</v>
      </c>
      <c r="H93" s="171"/>
      <c r="I93" s="33" t="s">
        <v>328</v>
      </c>
      <c r="J93" s="23"/>
      <c r="K93" s="596">
        <v>6</v>
      </c>
      <c r="L93" s="382">
        <f t="shared" si="12"/>
        <v>3.0303030303030304E-2</v>
      </c>
      <c r="AB93" s="2">
        <v>19</v>
      </c>
      <c r="AC93" s="437" t="s">
        <v>329</v>
      </c>
      <c r="AE93" s="2">
        <v>1</v>
      </c>
      <c r="AF93" s="437" t="s">
        <v>330</v>
      </c>
    </row>
    <row r="94" spans="2:32" ht="13.5" thickTop="1" x14ac:dyDescent="0.4">
      <c r="B94" s="33"/>
      <c r="C94" s="171"/>
      <c r="D94" s="627"/>
      <c r="E94" s="444"/>
      <c r="F94" s="438"/>
      <c r="G94" s="444"/>
      <c r="H94" s="171"/>
      <c r="I94" s="33" t="s">
        <v>332</v>
      </c>
      <c r="J94" s="23"/>
      <c r="K94" s="596">
        <v>2</v>
      </c>
      <c r="L94" s="382">
        <f t="shared" si="12"/>
        <v>1.0101010101010102E-2</v>
      </c>
      <c r="N94" s="234" t="s">
        <v>189</v>
      </c>
      <c r="O94" s="234" t="s">
        <v>333</v>
      </c>
      <c r="P94" s="234" t="s">
        <v>118</v>
      </c>
      <c r="Q94" s="234" t="s">
        <v>119</v>
      </c>
      <c r="R94" s="234" t="s">
        <v>120</v>
      </c>
      <c r="U94" s="2" t="s">
        <v>334</v>
      </c>
      <c r="V94" s="241">
        <v>9</v>
      </c>
      <c r="W94" s="241"/>
      <c r="Y94" s="2">
        <v>1</v>
      </c>
      <c r="Z94" s="2" t="s">
        <v>325</v>
      </c>
      <c r="AB94" s="2">
        <v>19</v>
      </c>
      <c r="AC94" s="437" t="s">
        <v>335</v>
      </c>
      <c r="AE94" s="2">
        <v>1</v>
      </c>
      <c r="AF94" s="437" t="s">
        <v>336</v>
      </c>
    </row>
    <row r="95" spans="2:32" x14ac:dyDescent="0.4">
      <c r="B95" s="390" t="s">
        <v>331</v>
      </c>
      <c r="C95" s="391"/>
      <c r="D95" s="623">
        <v>6</v>
      </c>
      <c r="E95" s="387">
        <f t="shared" ref="E95:E102" si="13">D95/D$115</f>
        <v>1.7595307917888565E-2</v>
      </c>
      <c r="F95" s="386"/>
      <c r="G95" s="387" t="e">
        <f t="shared" ref="G95:G102" si="14">F95/F$115</f>
        <v>#DIV/0!</v>
      </c>
      <c r="H95" s="171"/>
      <c r="I95" s="33" t="s">
        <v>338</v>
      </c>
      <c r="J95" s="23"/>
      <c r="K95" s="596">
        <v>44</v>
      </c>
      <c r="L95" s="382">
        <f t="shared" si="12"/>
        <v>0.22222222222222221</v>
      </c>
      <c r="N95" s="240" t="s">
        <v>194</v>
      </c>
      <c r="O95" s="2" t="s">
        <v>328</v>
      </c>
      <c r="P95" s="241">
        <v>5</v>
      </c>
      <c r="Q95" s="241">
        <v>4</v>
      </c>
      <c r="R95" s="241">
        <v>9</v>
      </c>
      <c r="U95" s="2" t="s">
        <v>339</v>
      </c>
      <c r="V95" s="241">
        <v>77</v>
      </c>
      <c r="W95" s="241"/>
      <c r="Y95" s="2">
        <v>1</v>
      </c>
      <c r="Z95" s="2" t="s">
        <v>328</v>
      </c>
      <c r="AB95" s="2">
        <v>18</v>
      </c>
      <c r="AC95" s="437" t="s">
        <v>340</v>
      </c>
      <c r="AE95" s="2">
        <v>1</v>
      </c>
      <c r="AF95" s="437" t="s">
        <v>341</v>
      </c>
    </row>
    <row r="96" spans="2:32" x14ac:dyDescent="0.4">
      <c r="B96" s="390" t="s">
        <v>337</v>
      </c>
      <c r="C96" s="391"/>
      <c r="D96" s="623">
        <v>41</v>
      </c>
      <c r="E96" s="387">
        <f t="shared" si="13"/>
        <v>0.12023460410557185</v>
      </c>
      <c r="F96" s="386"/>
      <c r="G96" s="387" t="e">
        <f t="shared" si="14"/>
        <v>#DIV/0!</v>
      </c>
      <c r="I96" s="33" t="s">
        <v>343</v>
      </c>
      <c r="J96" s="23"/>
      <c r="K96" s="596">
        <v>11</v>
      </c>
      <c r="L96" s="382">
        <f t="shared" si="12"/>
        <v>5.5555555555555552E-2</v>
      </c>
      <c r="N96" s="240"/>
      <c r="O96" s="2" t="s">
        <v>332</v>
      </c>
      <c r="P96" s="241">
        <v>4</v>
      </c>
      <c r="Q96" s="241">
        <v>4</v>
      </c>
      <c r="R96" s="241">
        <v>8</v>
      </c>
      <c r="U96" s="2" t="s">
        <v>344</v>
      </c>
      <c r="V96" s="241">
        <v>45</v>
      </c>
      <c r="W96" s="241">
        <v>105</v>
      </c>
      <c r="Y96" s="2">
        <v>2</v>
      </c>
      <c r="Z96" s="2" t="s">
        <v>328</v>
      </c>
      <c r="AB96" s="2">
        <v>16</v>
      </c>
      <c r="AC96" s="437" t="s">
        <v>345</v>
      </c>
      <c r="AE96" s="2">
        <v>1</v>
      </c>
      <c r="AF96" s="437" t="s">
        <v>346</v>
      </c>
    </row>
    <row r="97" spans="2:32" x14ac:dyDescent="0.4">
      <c r="B97" s="393" t="s">
        <v>342</v>
      </c>
      <c r="C97" s="394"/>
      <c r="D97" s="623">
        <v>41</v>
      </c>
      <c r="E97" s="396">
        <f t="shared" si="13"/>
        <v>0.12023460410557185</v>
      </c>
      <c r="F97" s="386"/>
      <c r="G97" s="396" t="e">
        <f t="shared" si="14"/>
        <v>#DIV/0!</v>
      </c>
      <c r="I97" s="33" t="s">
        <v>348</v>
      </c>
      <c r="J97" s="23"/>
      <c r="K97" s="596">
        <v>4</v>
      </c>
      <c r="L97" s="382">
        <f t="shared" si="12"/>
        <v>2.0202020202020204E-2</v>
      </c>
      <c r="N97" s="240"/>
      <c r="O97" s="2" t="s">
        <v>349</v>
      </c>
      <c r="P97" s="241">
        <v>10</v>
      </c>
      <c r="Q97" s="241">
        <v>17</v>
      </c>
      <c r="R97" s="241">
        <v>27</v>
      </c>
      <c r="U97" s="2" t="s">
        <v>350</v>
      </c>
      <c r="V97" s="241">
        <v>14</v>
      </c>
      <c r="W97" s="241">
        <v>36</v>
      </c>
      <c r="Y97" s="2">
        <v>3</v>
      </c>
      <c r="Z97" s="2" t="s">
        <v>328</v>
      </c>
      <c r="AB97" s="2">
        <v>14</v>
      </c>
      <c r="AC97" s="437" t="s">
        <v>351</v>
      </c>
      <c r="AE97" s="2">
        <v>1</v>
      </c>
      <c r="AF97" s="437" t="s">
        <v>352</v>
      </c>
    </row>
    <row r="98" spans="2:32" x14ac:dyDescent="0.4">
      <c r="B98" s="390" t="s">
        <v>347</v>
      </c>
      <c r="C98" s="391"/>
      <c r="D98" s="623">
        <v>5</v>
      </c>
      <c r="E98" s="387">
        <f t="shared" si="13"/>
        <v>1.466275659824047E-2</v>
      </c>
      <c r="F98" s="386"/>
      <c r="G98" s="387" t="e">
        <f t="shared" si="14"/>
        <v>#DIV/0!</v>
      </c>
      <c r="I98" s="33" t="s">
        <v>354</v>
      </c>
      <c r="J98" s="23"/>
      <c r="K98" s="596">
        <v>14</v>
      </c>
      <c r="L98" s="382">
        <f t="shared" si="12"/>
        <v>7.0707070707070704E-2</v>
      </c>
      <c r="N98" s="240"/>
      <c r="O98" s="2" t="s">
        <v>343</v>
      </c>
      <c r="P98" s="241">
        <v>2</v>
      </c>
      <c r="Q98" s="241">
        <v>7</v>
      </c>
      <c r="R98" s="241">
        <v>9</v>
      </c>
      <c r="U98" s="2" t="s">
        <v>355</v>
      </c>
      <c r="V98" s="241">
        <v>45</v>
      </c>
      <c r="W98" s="241">
        <v>49</v>
      </c>
      <c r="Y98" s="2">
        <v>4</v>
      </c>
      <c r="Z98" s="2" t="s">
        <v>328</v>
      </c>
      <c r="AB98" s="2">
        <v>12</v>
      </c>
      <c r="AC98" s="437" t="s">
        <v>356</v>
      </c>
      <c r="AE98" s="2">
        <v>1</v>
      </c>
      <c r="AF98" s="437" t="s">
        <v>357</v>
      </c>
    </row>
    <row r="99" spans="2:32" x14ac:dyDescent="0.4">
      <c r="B99" s="390" t="s">
        <v>353</v>
      </c>
      <c r="C99" s="391"/>
      <c r="D99" s="623">
        <v>35</v>
      </c>
      <c r="E99" s="387">
        <f t="shared" si="13"/>
        <v>0.10263929618768329</v>
      </c>
      <c r="F99" s="386"/>
      <c r="G99" s="387" t="e">
        <f t="shared" si="14"/>
        <v>#DIV/0!</v>
      </c>
      <c r="I99" s="33" t="s">
        <v>359</v>
      </c>
      <c r="J99" s="23"/>
      <c r="K99" s="596"/>
      <c r="L99" s="382">
        <f t="shared" si="12"/>
        <v>0</v>
      </c>
      <c r="N99" s="240"/>
      <c r="O99" s="2" t="s">
        <v>348</v>
      </c>
      <c r="P99" s="241">
        <v>1</v>
      </c>
      <c r="Q99" s="241">
        <v>5</v>
      </c>
      <c r="R99" s="241">
        <v>6</v>
      </c>
      <c r="U99" s="2" t="s">
        <v>360</v>
      </c>
      <c r="V99" s="241">
        <v>7</v>
      </c>
      <c r="W99" s="241">
        <v>5</v>
      </c>
      <c r="Y99" s="2">
        <v>5</v>
      </c>
      <c r="Z99" s="2" t="s">
        <v>328</v>
      </c>
      <c r="AB99" s="2">
        <v>10</v>
      </c>
      <c r="AC99" s="437" t="s">
        <v>361</v>
      </c>
      <c r="AE99" s="2">
        <v>1</v>
      </c>
      <c r="AF99" s="437" t="s">
        <v>362</v>
      </c>
    </row>
    <row r="100" spans="2:32" x14ac:dyDescent="0.4">
      <c r="B100" s="393" t="s">
        <v>358</v>
      </c>
      <c r="C100" s="394"/>
      <c r="D100" s="623">
        <v>3</v>
      </c>
      <c r="E100" s="396">
        <f t="shared" si="13"/>
        <v>8.7976539589442824E-3</v>
      </c>
      <c r="F100" s="386"/>
      <c r="G100" s="396" t="e">
        <f t="shared" si="14"/>
        <v>#DIV/0!</v>
      </c>
      <c r="I100" s="33" t="s">
        <v>364</v>
      </c>
      <c r="J100" s="23"/>
      <c r="K100" s="596">
        <v>26</v>
      </c>
      <c r="L100" s="382">
        <f t="shared" si="12"/>
        <v>0.13131313131313133</v>
      </c>
      <c r="N100" s="240"/>
      <c r="O100" s="2" t="s">
        <v>354</v>
      </c>
      <c r="P100" s="241">
        <v>9</v>
      </c>
      <c r="Q100" s="241">
        <v>12</v>
      </c>
      <c r="R100" s="241">
        <v>21</v>
      </c>
      <c r="U100" s="2" t="s">
        <v>365</v>
      </c>
      <c r="V100" s="241">
        <v>18</v>
      </c>
      <c r="W100" s="241">
        <v>16</v>
      </c>
      <c r="Y100" s="2">
        <v>6</v>
      </c>
      <c r="Z100" s="2" t="s">
        <v>328</v>
      </c>
      <c r="AB100" s="2">
        <v>9</v>
      </c>
      <c r="AC100" s="437" t="s">
        <v>366</v>
      </c>
      <c r="AE100" s="2">
        <v>1</v>
      </c>
      <c r="AF100" s="437" t="s">
        <v>367</v>
      </c>
    </row>
    <row r="101" spans="2:32" x14ac:dyDescent="0.4">
      <c r="B101" s="390" t="s">
        <v>363</v>
      </c>
      <c r="C101" s="391"/>
      <c r="D101" s="623">
        <v>11</v>
      </c>
      <c r="E101" s="387">
        <f t="shared" si="13"/>
        <v>3.2258064516129031E-2</v>
      </c>
      <c r="F101" s="386"/>
      <c r="G101" s="387" t="e">
        <f t="shared" si="14"/>
        <v>#DIV/0!</v>
      </c>
      <c r="I101" s="33" t="s">
        <v>369</v>
      </c>
      <c r="J101" s="23"/>
      <c r="K101" s="596">
        <v>1</v>
      </c>
      <c r="L101" s="382">
        <f t="shared" si="12"/>
        <v>5.0505050505050509E-3</v>
      </c>
      <c r="N101" s="240"/>
      <c r="O101" s="2" t="s">
        <v>364</v>
      </c>
      <c r="P101" s="241">
        <v>12</v>
      </c>
      <c r="Q101" s="241">
        <v>16</v>
      </c>
      <c r="R101" s="241">
        <v>28</v>
      </c>
      <c r="Y101" s="2">
        <v>7</v>
      </c>
      <c r="Z101" s="2" t="s">
        <v>328</v>
      </c>
      <c r="AB101" s="2">
        <v>8</v>
      </c>
      <c r="AC101" s="437" t="s">
        <v>370</v>
      </c>
      <c r="AE101" s="2">
        <v>1</v>
      </c>
      <c r="AF101" s="437" t="s">
        <v>371</v>
      </c>
    </row>
    <row r="102" spans="2:32" x14ac:dyDescent="0.4">
      <c r="B102" s="390" t="s">
        <v>368</v>
      </c>
      <c r="C102" s="391"/>
      <c r="D102" s="623">
        <v>25</v>
      </c>
      <c r="E102" s="387">
        <f t="shared" si="13"/>
        <v>7.331378299120235E-2</v>
      </c>
      <c r="F102" s="386"/>
      <c r="G102" s="387" t="e">
        <f t="shared" si="14"/>
        <v>#DIV/0!</v>
      </c>
      <c r="I102" s="33" t="s">
        <v>372</v>
      </c>
      <c r="J102" s="23"/>
      <c r="K102" s="596">
        <v>11</v>
      </c>
      <c r="L102" s="382">
        <f t="shared" si="12"/>
        <v>5.5555555555555552E-2</v>
      </c>
      <c r="N102" s="240"/>
      <c r="O102" s="2" t="s">
        <v>369</v>
      </c>
      <c r="P102" s="241">
        <v>2</v>
      </c>
      <c r="Q102" s="241">
        <v>2</v>
      </c>
      <c r="R102" s="241">
        <v>4</v>
      </c>
      <c r="Y102" s="2">
        <v>8</v>
      </c>
      <c r="Z102" s="2" t="s">
        <v>328</v>
      </c>
      <c r="AB102" s="2">
        <v>8</v>
      </c>
      <c r="AC102" s="437" t="s">
        <v>373</v>
      </c>
      <c r="AE102" s="2">
        <v>1</v>
      </c>
      <c r="AF102" s="437" t="s">
        <v>374</v>
      </c>
    </row>
    <row r="103" spans="2:32" x14ac:dyDescent="0.4">
      <c r="B103" s="409"/>
      <c r="C103" s="410"/>
      <c r="D103" s="624"/>
      <c r="E103" s="412"/>
      <c r="F103" s="413"/>
      <c r="G103" s="412"/>
      <c r="I103" s="33" t="s">
        <v>376</v>
      </c>
      <c r="J103" s="23"/>
      <c r="K103" s="596"/>
      <c r="L103" s="382">
        <f t="shared" si="12"/>
        <v>0</v>
      </c>
      <c r="N103" s="240"/>
      <c r="O103" s="2" t="s">
        <v>372</v>
      </c>
      <c r="P103" s="241">
        <v>10</v>
      </c>
      <c r="Q103" s="241">
        <v>9</v>
      </c>
      <c r="R103" s="241">
        <v>19</v>
      </c>
      <c r="Y103" s="2">
        <v>1</v>
      </c>
      <c r="Z103" s="2" t="s">
        <v>332</v>
      </c>
      <c r="AB103" s="2">
        <v>7</v>
      </c>
      <c r="AC103" s="437" t="s">
        <v>377</v>
      </c>
      <c r="AE103" s="2">
        <v>1</v>
      </c>
      <c r="AF103" s="437" t="s">
        <v>378</v>
      </c>
    </row>
    <row r="104" spans="2:32" ht="13.5" thickBot="1" x14ac:dyDescent="0.45">
      <c r="B104" s="416" t="s">
        <v>375</v>
      </c>
      <c r="C104" s="417"/>
      <c r="D104" s="625">
        <f>SUM(D95:D102)</f>
        <v>167</v>
      </c>
      <c r="E104" s="419">
        <f>D104/D$115</f>
        <v>0.48973607038123168</v>
      </c>
      <c r="F104" s="420">
        <f>SUM(F95:F102)</f>
        <v>0</v>
      </c>
      <c r="G104" s="419" t="e">
        <f>F104/F$115</f>
        <v>#DIV/0!</v>
      </c>
      <c r="I104" s="33" t="s">
        <v>379</v>
      </c>
      <c r="J104" s="23"/>
      <c r="K104" s="596"/>
      <c r="L104" s="382">
        <f t="shared" si="12"/>
        <v>0</v>
      </c>
      <c r="N104" s="240"/>
      <c r="O104" s="2" t="s">
        <v>376</v>
      </c>
      <c r="P104" s="241"/>
      <c r="Q104" s="241">
        <v>1</v>
      </c>
      <c r="R104" s="241">
        <v>1</v>
      </c>
      <c r="Y104" s="2">
        <v>1</v>
      </c>
      <c r="Z104" s="2" t="s">
        <v>380</v>
      </c>
      <c r="AB104" s="2">
        <v>7</v>
      </c>
      <c r="AC104" s="437" t="s">
        <v>381</v>
      </c>
      <c r="AE104" s="2">
        <v>1</v>
      </c>
      <c r="AF104" s="437" t="s">
        <v>382</v>
      </c>
    </row>
    <row r="105" spans="2:32" ht="13.5" thickTop="1" x14ac:dyDescent="0.4">
      <c r="B105" s="424"/>
      <c r="C105" s="425"/>
      <c r="D105" s="626"/>
      <c r="E105" s="427"/>
      <c r="F105" s="428"/>
      <c r="G105" s="427"/>
      <c r="H105" s="171"/>
      <c r="I105" s="33" t="s">
        <v>384</v>
      </c>
      <c r="J105" s="23"/>
      <c r="K105" s="596">
        <v>1</v>
      </c>
      <c r="L105" s="382">
        <f t="shared" si="12"/>
        <v>5.0505050505050509E-3</v>
      </c>
      <c r="N105" s="240"/>
      <c r="O105" s="2" t="s">
        <v>385</v>
      </c>
      <c r="P105" s="241">
        <v>1</v>
      </c>
      <c r="Q105" s="241">
        <v>1</v>
      </c>
      <c r="R105" s="241">
        <v>2</v>
      </c>
      <c r="U105" s="2" t="s">
        <v>386</v>
      </c>
      <c r="V105" s="241">
        <v>5</v>
      </c>
      <c r="W105" s="241">
        <v>4</v>
      </c>
      <c r="Y105" s="2">
        <v>1</v>
      </c>
      <c r="Z105" s="2" t="s">
        <v>349</v>
      </c>
      <c r="AB105" s="2">
        <v>6</v>
      </c>
      <c r="AC105" s="437" t="s">
        <v>387</v>
      </c>
      <c r="AE105" s="2">
        <v>1</v>
      </c>
      <c r="AF105" s="437" t="s">
        <v>388</v>
      </c>
    </row>
    <row r="106" spans="2:32" x14ac:dyDescent="0.4">
      <c r="B106" s="390" t="s">
        <v>383</v>
      </c>
      <c r="C106" s="391"/>
      <c r="D106" s="623"/>
      <c r="E106" s="387">
        <f>D106/D$115</f>
        <v>0</v>
      </c>
      <c r="F106" s="386"/>
      <c r="G106" s="387" t="e">
        <f>F106/F$115</f>
        <v>#DIV/0!</v>
      </c>
      <c r="H106" s="171"/>
      <c r="I106" s="33" t="s">
        <v>390</v>
      </c>
      <c r="J106" s="23"/>
      <c r="K106" s="596"/>
      <c r="L106" s="382">
        <f>K106/K$116</f>
        <v>0</v>
      </c>
      <c r="N106" s="240"/>
      <c r="O106" s="2" t="s">
        <v>391</v>
      </c>
      <c r="P106" s="241">
        <v>4</v>
      </c>
      <c r="Q106" s="241">
        <v>1</v>
      </c>
      <c r="R106" s="241">
        <v>5</v>
      </c>
      <c r="U106" s="2" t="s">
        <v>392</v>
      </c>
      <c r="V106" s="241">
        <v>1</v>
      </c>
      <c r="W106" s="241">
        <v>4</v>
      </c>
      <c r="Y106" s="2">
        <v>2</v>
      </c>
      <c r="Z106" s="2" t="s">
        <v>349</v>
      </c>
      <c r="AB106" s="2">
        <v>6</v>
      </c>
      <c r="AC106" s="437" t="s">
        <v>393</v>
      </c>
      <c r="AE106" s="2">
        <v>1</v>
      </c>
      <c r="AF106" s="437" t="s">
        <v>394</v>
      </c>
    </row>
    <row r="107" spans="2:32" x14ac:dyDescent="0.4">
      <c r="B107" s="390" t="s">
        <v>389</v>
      </c>
      <c r="C107" s="391"/>
      <c r="D107" s="623">
        <v>1</v>
      </c>
      <c r="E107" s="387">
        <f>D107/D$115</f>
        <v>2.9325513196480938E-3</v>
      </c>
      <c r="F107" s="386"/>
      <c r="G107" s="387" t="e">
        <f>F107/F$115</f>
        <v>#DIV/0!</v>
      </c>
      <c r="H107" s="170"/>
      <c r="I107" s="33" t="s">
        <v>396</v>
      </c>
      <c r="J107" s="23"/>
      <c r="K107" s="596"/>
      <c r="L107" s="382">
        <f>K107/K$116</f>
        <v>0</v>
      </c>
      <c r="N107" s="240"/>
      <c r="O107" s="2" t="s">
        <v>390</v>
      </c>
      <c r="P107" s="241">
        <v>1</v>
      </c>
      <c r="Q107" s="241"/>
      <c r="R107" s="241">
        <v>1</v>
      </c>
      <c r="Y107" s="2">
        <v>3</v>
      </c>
      <c r="Z107" s="2" t="s">
        <v>349</v>
      </c>
      <c r="AB107" s="2">
        <v>6</v>
      </c>
      <c r="AC107" s="437" t="s">
        <v>397</v>
      </c>
      <c r="AE107" s="2">
        <v>1</v>
      </c>
      <c r="AF107" s="437" t="s">
        <v>398</v>
      </c>
    </row>
    <row r="108" spans="2:32" x14ac:dyDescent="0.4">
      <c r="B108" s="393" t="s">
        <v>395</v>
      </c>
      <c r="C108" s="394"/>
      <c r="D108" s="623"/>
      <c r="E108" s="396">
        <f>D108/D$115</f>
        <v>0</v>
      </c>
      <c r="F108" s="386"/>
      <c r="G108" s="396" t="e">
        <f>F108/F$115</f>
        <v>#DIV/0!</v>
      </c>
      <c r="I108" s="33" t="s">
        <v>400</v>
      </c>
      <c r="J108" s="23"/>
      <c r="K108" s="596">
        <v>61</v>
      </c>
      <c r="L108" s="382">
        <f>K108/K$116</f>
        <v>0.30808080808080807</v>
      </c>
      <c r="N108" s="240"/>
      <c r="O108" s="2" t="s">
        <v>396</v>
      </c>
      <c r="P108" s="241"/>
      <c r="Q108" s="241">
        <v>1</v>
      </c>
      <c r="R108" s="241">
        <v>1</v>
      </c>
      <c r="Y108" s="2">
        <v>4</v>
      </c>
      <c r="Z108" s="2" t="s">
        <v>349</v>
      </c>
      <c r="AB108" s="2">
        <v>6</v>
      </c>
      <c r="AC108" s="437" t="s">
        <v>212</v>
      </c>
      <c r="AE108" s="2">
        <v>1</v>
      </c>
      <c r="AF108" s="437" t="s">
        <v>401</v>
      </c>
    </row>
    <row r="109" spans="2:32" x14ac:dyDescent="0.4">
      <c r="B109" s="390" t="s">
        <v>399</v>
      </c>
      <c r="C109" s="391"/>
      <c r="D109" s="623"/>
      <c r="E109" s="387">
        <f>D109/D$115</f>
        <v>0</v>
      </c>
      <c r="F109" s="386"/>
      <c r="G109" s="387" t="e">
        <f>F109/F$115</f>
        <v>#DIV/0!</v>
      </c>
      <c r="I109" s="33"/>
      <c r="J109" s="23"/>
      <c r="K109" s="596"/>
      <c r="L109" s="382">
        <f>K109/K$116</f>
        <v>0</v>
      </c>
      <c r="N109" s="240"/>
      <c r="O109" s="2" t="s">
        <v>400</v>
      </c>
      <c r="P109" s="241">
        <v>48</v>
      </c>
      <c r="Q109" s="241">
        <v>38</v>
      </c>
      <c r="R109" s="241">
        <v>86</v>
      </c>
      <c r="Y109" s="2">
        <v>5</v>
      </c>
      <c r="Z109" s="2" t="s">
        <v>349</v>
      </c>
      <c r="AB109" s="2">
        <v>6</v>
      </c>
      <c r="AC109" s="437" t="s">
        <v>402</v>
      </c>
      <c r="AE109" s="2">
        <v>1</v>
      </c>
      <c r="AF109" s="437" t="s">
        <v>403</v>
      </c>
    </row>
    <row r="110" spans="2:32" x14ac:dyDescent="0.4">
      <c r="B110" s="409"/>
      <c r="C110" s="410"/>
      <c r="D110" s="624"/>
      <c r="E110" s="412"/>
      <c r="F110" s="413"/>
      <c r="G110" s="412"/>
      <c r="I110" s="33" t="s">
        <v>405</v>
      </c>
      <c r="J110" s="23"/>
      <c r="K110" s="596">
        <v>8</v>
      </c>
      <c r="L110" s="382"/>
      <c r="N110" s="240"/>
      <c r="O110" s="2" t="s">
        <v>405</v>
      </c>
      <c r="P110" s="241">
        <v>3</v>
      </c>
      <c r="Q110" s="241">
        <v>7</v>
      </c>
      <c r="R110" s="241">
        <v>10</v>
      </c>
      <c r="Y110" s="2">
        <v>6</v>
      </c>
      <c r="Z110" s="2" t="s">
        <v>349</v>
      </c>
      <c r="AB110" s="2">
        <v>5</v>
      </c>
      <c r="AC110" s="437" t="s">
        <v>406</v>
      </c>
      <c r="AE110" s="2">
        <v>1</v>
      </c>
      <c r="AF110" s="437" t="s">
        <v>407</v>
      </c>
    </row>
    <row r="111" spans="2:32" ht="13.5" thickBot="1" x14ac:dyDescent="0.45">
      <c r="B111" s="416" t="s">
        <v>404</v>
      </c>
      <c r="C111" s="417"/>
      <c r="D111" s="625">
        <f>SUM(D106:D109)</f>
        <v>1</v>
      </c>
      <c r="E111" s="419">
        <f>D111/D$115</f>
        <v>2.9325513196480938E-3</v>
      </c>
      <c r="F111" s="420">
        <f>SUM(F106:F109)</f>
        <v>0</v>
      </c>
      <c r="G111" s="419" t="e">
        <f>F111/F$115</f>
        <v>#DIV/0!</v>
      </c>
      <c r="I111" s="33" t="s">
        <v>380</v>
      </c>
      <c r="J111" s="23"/>
      <c r="K111" s="596">
        <v>4</v>
      </c>
      <c r="L111" s="382">
        <f>K111/K$116</f>
        <v>2.0202020202020204E-2</v>
      </c>
      <c r="N111" s="240"/>
      <c r="O111" s="2" t="s">
        <v>408</v>
      </c>
      <c r="P111" s="241">
        <v>1</v>
      </c>
      <c r="Q111" s="241"/>
      <c r="R111" s="241">
        <v>1</v>
      </c>
      <c r="Y111" s="2">
        <v>7</v>
      </c>
      <c r="Z111" s="2" t="s">
        <v>349</v>
      </c>
      <c r="AB111" s="2">
        <v>5</v>
      </c>
      <c r="AC111" s="437" t="s">
        <v>409</v>
      </c>
      <c r="AE111" s="2">
        <v>1</v>
      </c>
      <c r="AF111" s="437" t="s">
        <v>410</v>
      </c>
    </row>
    <row r="112" spans="2:32" ht="13.5" thickTop="1" x14ac:dyDescent="0.4">
      <c r="B112" s="424"/>
      <c r="C112" s="425"/>
      <c r="D112" s="626"/>
      <c r="E112" s="427"/>
      <c r="F112" s="428"/>
      <c r="G112" s="427"/>
      <c r="H112" s="171"/>
      <c r="I112" s="33" t="s">
        <v>473</v>
      </c>
      <c r="J112" s="23"/>
      <c r="K112" s="596">
        <v>2</v>
      </c>
      <c r="L112" s="382">
        <f>K112/K$116</f>
        <v>1.0101010101010102E-2</v>
      </c>
      <c r="N112" s="240"/>
      <c r="O112" s="2" t="s">
        <v>412</v>
      </c>
      <c r="P112" s="241">
        <v>1</v>
      </c>
      <c r="Q112" s="241"/>
      <c r="R112" s="241">
        <v>1</v>
      </c>
      <c r="U112" s="2" t="s">
        <v>413</v>
      </c>
      <c r="V112" s="241">
        <v>22</v>
      </c>
      <c r="W112" s="241">
        <v>54</v>
      </c>
      <c r="Y112" s="2">
        <v>8</v>
      </c>
      <c r="Z112" s="2" t="s">
        <v>349</v>
      </c>
      <c r="AB112" s="2">
        <v>5</v>
      </c>
      <c r="AC112" s="437" t="s">
        <v>414</v>
      </c>
      <c r="AE112" s="2">
        <v>1</v>
      </c>
      <c r="AF112" s="437" t="s">
        <v>415</v>
      </c>
    </row>
    <row r="113" spans="1:32" x14ac:dyDescent="0.4">
      <c r="B113" s="390" t="s">
        <v>411</v>
      </c>
      <c r="C113" s="391"/>
      <c r="D113" s="627">
        <v>18</v>
      </c>
      <c r="E113" s="387">
        <f>D113/D$115</f>
        <v>5.2785923753665691E-2</v>
      </c>
      <c r="F113" s="438"/>
      <c r="G113" s="387" t="e">
        <f>F113/F$115</f>
        <v>#DIV/0!</v>
      </c>
      <c r="H113" s="171"/>
      <c r="I113" s="33" t="s">
        <v>408</v>
      </c>
      <c r="J113" s="23"/>
      <c r="K113" s="596">
        <v>3</v>
      </c>
      <c r="L113" s="382">
        <f>K113/K$116</f>
        <v>1.5151515151515152E-2</v>
      </c>
      <c r="N113" s="240"/>
      <c r="O113" s="2" t="s">
        <v>416</v>
      </c>
      <c r="P113" s="241">
        <v>1</v>
      </c>
      <c r="Q113" s="241">
        <v>3</v>
      </c>
      <c r="R113" s="241">
        <v>4</v>
      </c>
      <c r="Y113" s="2">
        <v>9</v>
      </c>
      <c r="Z113" s="2" t="s">
        <v>349</v>
      </c>
      <c r="AB113" s="2">
        <v>4</v>
      </c>
      <c r="AC113" s="437" t="s">
        <v>417</v>
      </c>
      <c r="AE113" s="2">
        <v>1</v>
      </c>
      <c r="AF113" s="437" t="s">
        <v>418</v>
      </c>
    </row>
    <row r="114" spans="1:32" ht="13.5" thickBot="1" x14ac:dyDescent="0.45">
      <c r="B114" s="445"/>
      <c r="C114" s="446"/>
      <c r="D114" s="628"/>
      <c r="E114" s="448"/>
      <c r="F114" s="449"/>
      <c r="G114" s="448"/>
      <c r="H114" s="170"/>
      <c r="I114" s="33" t="s">
        <v>416</v>
      </c>
      <c r="J114" s="23"/>
      <c r="K114" s="596"/>
      <c r="L114" s="382"/>
      <c r="N114" s="240"/>
      <c r="O114" s="2" t="s">
        <v>420</v>
      </c>
      <c r="P114" s="241">
        <v>1</v>
      </c>
      <c r="Q114" s="241">
        <v>1</v>
      </c>
      <c r="R114" s="241">
        <v>2</v>
      </c>
      <c r="U114" s="266"/>
      <c r="V114" s="267">
        <v>402</v>
      </c>
      <c r="W114" s="267">
        <v>402</v>
      </c>
      <c r="Y114" s="2">
        <v>10</v>
      </c>
      <c r="Z114" s="2" t="s">
        <v>349</v>
      </c>
      <c r="AB114" s="2">
        <v>4</v>
      </c>
      <c r="AC114" s="437" t="s">
        <v>421</v>
      </c>
    </row>
    <row r="115" spans="1:32" ht="13.9" thickTop="1" thickBot="1" x14ac:dyDescent="0.45">
      <c r="B115" s="450" t="s">
        <v>419</v>
      </c>
      <c r="C115" s="451"/>
      <c r="D115" s="452">
        <f>SUM(D113,D111,D83,D93,D104)</f>
        <v>341</v>
      </c>
      <c r="E115" s="453">
        <v>1</v>
      </c>
      <c r="F115" s="454">
        <f>SUM(F113,F111,F83,F93,F104)</f>
        <v>0</v>
      </c>
      <c r="G115" s="453" t="e">
        <f>F115/F$115</f>
        <v>#DIV/0!</v>
      </c>
      <c r="I115" s="164"/>
      <c r="J115" s="455"/>
      <c r="K115" s="596"/>
      <c r="L115" s="382">
        <f>K115/K$116</f>
        <v>0</v>
      </c>
      <c r="N115" s="240"/>
      <c r="O115" s="2" t="s">
        <v>422</v>
      </c>
      <c r="P115" s="241">
        <v>32</v>
      </c>
      <c r="Q115" s="241">
        <v>51</v>
      </c>
      <c r="R115" s="241">
        <v>83</v>
      </c>
      <c r="Y115" s="2">
        <v>11</v>
      </c>
      <c r="Z115" s="2" t="s">
        <v>349</v>
      </c>
      <c r="AB115" s="2">
        <v>4</v>
      </c>
      <c r="AC115" s="437" t="s">
        <v>423</v>
      </c>
    </row>
    <row r="116" spans="1:32" ht="13.5" thickBot="1" x14ac:dyDescent="0.45">
      <c r="H116" s="170"/>
      <c r="I116" s="373" t="s">
        <v>290</v>
      </c>
      <c r="J116" s="433"/>
      <c r="K116" s="456">
        <f>SUM(K92:K115)</f>
        <v>198</v>
      </c>
      <c r="L116" s="457"/>
      <c r="N116" s="263"/>
      <c r="O116" s="2" t="s">
        <v>244</v>
      </c>
      <c r="P116" s="241">
        <v>39</v>
      </c>
      <c r="Q116" s="241">
        <v>35</v>
      </c>
      <c r="R116" s="241">
        <v>74</v>
      </c>
      <c r="Y116" s="2">
        <v>12</v>
      </c>
      <c r="Z116" s="2" t="s">
        <v>349</v>
      </c>
      <c r="AB116" s="2">
        <v>4</v>
      </c>
      <c r="AC116" s="437" t="s">
        <v>425</v>
      </c>
    </row>
    <row r="117" spans="1:32" ht="13.5" thickTop="1" x14ac:dyDescent="0.4">
      <c r="I117" s="33" t="s">
        <v>426</v>
      </c>
      <c r="J117" s="23"/>
      <c r="K117" s="596">
        <f>90+87</f>
        <v>177</v>
      </c>
      <c r="L117" s="27"/>
      <c r="N117" s="266" t="s">
        <v>286</v>
      </c>
      <c r="O117" s="266"/>
      <c r="P117" s="267">
        <v>187</v>
      </c>
      <c r="Q117" s="267">
        <v>215</v>
      </c>
      <c r="R117" s="267">
        <v>402</v>
      </c>
      <c r="Y117" s="2">
        <v>13</v>
      </c>
      <c r="Z117" s="2" t="s">
        <v>349</v>
      </c>
      <c r="AB117" s="2">
        <v>4</v>
      </c>
      <c r="AC117" s="437" t="s">
        <v>427</v>
      </c>
    </row>
    <row r="118" spans="1:32" ht="13.5" thickBot="1" x14ac:dyDescent="0.45">
      <c r="I118" s="463" t="s">
        <v>120</v>
      </c>
      <c r="J118" s="464"/>
      <c r="K118" s="465">
        <f>K116+K117</f>
        <v>375</v>
      </c>
      <c r="L118" s="466"/>
      <c r="Y118" s="2">
        <v>14</v>
      </c>
      <c r="Z118" s="2" t="s">
        <v>349</v>
      </c>
      <c r="AB118" s="2">
        <v>3</v>
      </c>
      <c r="AC118" s="437" t="s">
        <v>431</v>
      </c>
    </row>
    <row r="119" spans="1:32" x14ac:dyDescent="0.4">
      <c r="Y119" s="2">
        <v>15</v>
      </c>
      <c r="Z119" s="2" t="s">
        <v>349</v>
      </c>
      <c r="AB119" s="2">
        <v>3</v>
      </c>
      <c r="AC119" s="437" t="s">
        <v>434</v>
      </c>
    </row>
    <row r="120" spans="1:32" x14ac:dyDescent="0.4">
      <c r="L120" s="179"/>
      <c r="Y120" s="2">
        <v>16</v>
      </c>
      <c r="Z120" s="2" t="s">
        <v>349</v>
      </c>
      <c r="AB120" s="2">
        <v>3</v>
      </c>
      <c r="AC120" s="437" t="s">
        <v>435</v>
      </c>
    </row>
    <row r="121" spans="1:32" x14ac:dyDescent="0.4">
      <c r="Y121" s="2">
        <v>17</v>
      </c>
      <c r="Z121" s="2" t="s">
        <v>349</v>
      </c>
      <c r="AB121" s="2">
        <v>3</v>
      </c>
      <c r="AC121" s="437" t="s">
        <v>436</v>
      </c>
    </row>
    <row r="122" spans="1:32" x14ac:dyDescent="0.4">
      <c r="Y122" s="2">
        <v>18</v>
      </c>
      <c r="Z122" s="2" t="s">
        <v>349</v>
      </c>
      <c r="AB122" s="2">
        <v>3</v>
      </c>
      <c r="AC122" s="437" t="s">
        <v>437</v>
      </c>
    </row>
    <row r="123" spans="1:32" x14ac:dyDescent="0.4">
      <c r="Y123" s="2">
        <v>19</v>
      </c>
      <c r="Z123" s="2" t="s">
        <v>349</v>
      </c>
      <c r="AB123" s="2">
        <v>3</v>
      </c>
      <c r="AC123" s="437" t="s">
        <v>438</v>
      </c>
    </row>
    <row r="124" spans="1:32" x14ac:dyDescent="0.4">
      <c r="B124" s="648" t="s">
        <v>446</v>
      </c>
      <c r="C124" s="649"/>
      <c r="D124" s="18"/>
      <c r="E124" s="650" t="s">
        <v>424</v>
      </c>
      <c r="F124" s="651"/>
      <c r="G124" s="652"/>
      <c r="Y124" s="2">
        <v>20</v>
      </c>
      <c r="Z124" s="2" t="s">
        <v>349</v>
      </c>
      <c r="AB124" s="2">
        <v>3</v>
      </c>
      <c r="AC124" s="437" t="s">
        <v>439</v>
      </c>
    </row>
    <row r="125" spans="1:32" ht="14.25" x14ac:dyDescent="0.45">
      <c r="B125" s="458"/>
      <c r="C125" s="18"/>
      <c r="D125" s="80"/>
      <c r="E125" s="80"/>
      <c r="F125" s="213"/>
      <c r="Y125" s="2">
        <v>21</v>
      </c>
      <c r="Z125" s="2" t="s">
        <v>349</v>
      </c>
      <c r="AB125" s="2">
        <v>2</v>
      </c>
      <c r="AC125" s="437" t="s">
        <v>440</v>
      </c>
    </row>
    <row r="126" spans="1:32" x14ac:dyDescent="0.4">
      <c r="B126" s="459" t="s">
        <v>187</v>
      </c>
      <c r="C126" s="459" t="s">
        <v>305</v>
      </c>
      <c r="D126" s="459" t="s">
        <v>428</v>
      </c>
      <c r="E126" s="460" t="s">
        <v>429</v>
      </c>
      <c r="F126" s="461" t="s">
        <v>305</v>
      </c>
      <c r="G126" s="462" t="s">
        <v>430</v>
      </c>
      <c r="Y126" s="2">
        <v>22</v>
      </c>
      <c r="Z126" s="2" t="s">
        <v>349</v>
      </c>
      <c r="AB126" s="2">
        <v>2</v>
      </c>
      <c r="AC126" s="437" t="s">
        <v>441</v>
      </c>
    </row>
    <row r="127" spans="1:32" x14ac:dyDescent="0.4">
      <c r="A127" s="459" t="s">
        <v>432</v>
      </c>
      <c r="B127" s="467" t="s">
        <v>196</v>
      </c>
      <c r="C127" s="468">
        <f>E53</f>
        <v>224</v>
      </c>
      <c r="D127" s="469">
        <v>1</v>
      </c>
      <c r="E127" s="602" t="s">
        <v>492</v>
      </c>
      <c r="F127" s="481">
        <v>9</v>
      </c>
      <c r="G127" s="471">
        <v>0.48275862068965519</v>
      </c>
      <c r="Y127" s="2">
        <v>23</v>
      </c>
      <c r="Z127" s="2" t="s">
        <v>349</v>
      </c>
      <c r="AB127" s="2">
        <v>2</v>
      </c>
      <c r="AC127" s="437" t="s">
        <v>443</v>
      </c>
    </row>
    <row r="128" spans="1:32" x14ac:dyDescent="0.4">
      <c r="A128" s="469">
        <v>1</v>
      </c>
      <c r="B128" s="472" t="s">
        <v>202</v>
      </c>
      <c r="C128" s="473">
        <f>E54</f>
        <v>19</v>
      </c>
      <c r="D128" s="474">
        <f>D127+1</f>
        <v>2</v>
      </c>
      <c r="E128" s="603" t="s">
        <v>321</v>
      </c>
      <c r="F128" s="475">
        <v>4</v>
      </c>
      <c r="G128" s="476">
        <v>0.10344827586206896</v>
      </c>
      <c r="Y128" s="2">
        <v>24</v>
      </c>
      <c r="Z128" s="2" t="s">
        <v>349</v>
      </c>
    </row>
    <row r="129" spans="1:26" x14ac:dyDescent="0.4">
      <c r="A129" s="474">
        <f>A128+1</f>
        <v>2</v>
      </c>
      <c r="B129" s="472" t="s">
        <v>199</v>
      </c>
      <c r="C129" s="473">
        <f>E55</f>
        <v>17</v>
      </c>
      <c r="D129" s="474">
        <f t="shared" ref="D129:D138" si="15">D128+1</f>
        <v>3</v>
      </c>
      <c r="E129" s="603" t="s">
        <v>493</v>
      </c>
      <c r="F129" s="601">
        <v>2</v>
      </c>
      <c r="G129" s="476">
        <v>6.8965517241379309E-2</v>
      </c>
      <c r="Y129" s="2">
        <v>25</v>
      </c>
      <c r="Z129" s="2" t="s">
        <v>349</v>
      </c>
    </row>
    <row r="130" spans="1:26" x14ac:dyDescent="0.4">
      <c r="A130" s="474">
        <f t="shared" ref="A130:A151" si="16">A129+1</f>
        <v>3</v>
      </c>
      <c r="B130" s="472" t="s">
        <v>200</v>
      </c>
      <c r="C130" s="473">
        <f>E56</f>
        <v>5</v>
      </c>
      <c r="D130" s="474">
        <f t="shared" si="15"/>
        <v>4</v>
      </c>
      <c r="E130" s="603" t="s">
        <v>475</v>
      </c>
      <c r="F130" s="477">
        <v>2</v>
      </c>
      <c r="G130" s="478">
        <v>6.8965517241379309E-2</v>
      </c>
      <c r="Y130" s="2">
        <v>26</v>
      </c>
      <c r="Z130" s="2" t="s">
        <v>349</v>
      </c>
    </row>
    <row r="131" spans="1:26" x14ac:dyDescent="0.4">
      <c r="A131" s="474">
        <f t="shared" si="16"/>
        <v>4</v>
      </c>
      <c r="B131" s="472" t="s">
        <v>208</v>
      </c>
      <c r="C131" s="479">
        <f>E57</f>
        <v>6</v>
      </c>
      <c r="D131" s="469">
        <f t="shared" si="15"/>
        <v>5</v>
      </c>
      <c r="E131" s="604" t="s">
        <v>491</v>
      </c>
      <c r="F131" s="481">
        <v>2</v>
      </c>
      <c r="G131" s="471">
        <v>3.4482758620689655E-2</v>
      </c>
      <c r="Y131" s="2">
        <v>27</v>
      </c>
      <c r="Z131" s="2" t="s">
        <v>349</v>
      </c>
    </row>
    <row r="132" spans="1:26" x14ac:dyDescent="0.4">
      <c r="A132" s="469">
        <f t="shared" si="16"/>
        <v>5</v>
      </c>
      <c r="B132" s="482" t="s">
        <v>210</v>
      </c>
      <c r="C132" s="483">
        <v>10</v>
      </c>
      <c r="D132" s="474">
        <f t="shared" si="15"/>
        <v>6</v>
      </c>
      <c r="E132" s="605" t="s">
        <v>494</v>
      </c>
      <c r="F132" s="475">
        <v>2</v>
      </c>
      <c r="G132" s="476">
        <v>3.4482758620689655E-2</v>
      </c>
      <c r="Y132" s="2">
        <v>28</v>
      </c>
      <c r="Z132" s="2" t="s">
        <v>349</v>
      </c>
    </row>
    <row r="133" spans="1:26" x14ac:dyDescent="0.4">
      <c r="A133" s="474">
        <f t="shared" si="16"/>
        <v>6</v>
      </c>
      <c r="B133" s="472" t="s">
        <v>212</v>
      </c>
      <c r="C133" s="473">
        <f>E59</f>
        <v>4</v>
      </c>
      <c r="D133" s="474">
        <f t="shared" si="15"/>
        <v>7</v>
      </c>
      <c r="E133" s="605" t="s">
        <v>495</v>
      </c>
      <c r="F133" s="475">
        <v>1</v>
      </c>
      <c r="G133" s="476">
        <v>3.4482758620689655E-2</v>
      </c>
      <c r="Y133" s="2">
        <v>29</v>
      </c>
      <c r="Z133" s="2" t="s">
        <v>349</v>
      </c>
    </row>
    <row r="134" spans="1:26" x14ac:dyDescent="0.4">
      <c r="A134" s="474">
        <f t="shared" si="16"/>
        <v>7</v>
      </c>
      <c r="B134" s="472" t="s">
        <v>474</v>
      </c>
      <c r="C134" s="473">
        <v>1</v>
      </c>
      <c r="D134" s="485">
        <f t="shared" si="15"/>
        <v>8</v>
      </c>
      <c r="E134" s="606" t="s">
        <v>496</v>
      </c>
      <c r="F134" s="477">
        <v>1</v>
      </c>
      <c r="G134" s="478">
        <v>3.4482758620689655E-2</v>
      </c>
      <c r="Y134" s="2">
        <v>30</v>
      </c>
      <c r="Z134" s="2" t="s">
        <v>349</v>
      </c>
    </row>
    <row r="135" spans="1:26" x14ac:dyDescent="0.4">
      <c r="A135" s="474">
        <f t="shared" si="16"/>
        <v>8</v>
      </c>
      <c r="B135" s="472" t="s">
        <v>230</v>
      </c>
      <c r="C135" s="473">
        <f>E60</f>
        <v>4</v>
      </c>
      <c r="D135" s="474">
        <f t="shared" si="15"/>
        <v>9</v>
      </c>
      <c r="E135" s="603" t="s">
        <v>497</v>
      </c>
      <c r="F135" s="475">
        <v>1</v>
      </c>
      <c r="G135" s="476">
        <v>3.4482758620689655E-2</v>
      </c>
      <c r="Y135" s="2">
        <v>31</v>
      </c>
      <c r="Z135" s="2" t="s">
        <v>349</v>
      </c>
    </row>
    <row r="136" spans="1:26" x14ac:dyDescent="0.4">
      <c r="A136" s="485">
        <f t="shared" si="16"/>
        <v>9</v>
      </c>
      <c r="B136" s="487" t="s">
        <v>205</v>
      </c>
      <c r="C136" s="479">
        <f>E61</f>
        <v>5</v>
      </c>
      <c r="D136" s="474">
        <f t="shared" si="15"/>
        <v>10</v>
      </c>
      <c r="E136" s="603"/>
      <c r="F136" s="475"/>
      <c r="G136" s="476">
        <v>3.4482758620689655E-2</v>
      </c>
      <c r="Y136" s="2">
        <v>32</v>
      </c>
      <c r="Z136" s="2" t="s">
        <v>349</v>
      </c>
    </row>
    <row r="137" spans="1:26" x14ac:dyDescent="0.4">
      <c r="A137" s="474">
        <f t="shared" si="16"/>
        <v>10</v>
      </c>
      <c r="B137" s="472" t="s">
        <v>221</v>
      </c>
      <c r="C137" s="483">
        <v>3</v>
      </c>
      <c r="D137" s="474">
        <f t="shared" si="15"/>
        <v>11</v>
      </c>
      <c r="E137" s="603"/>
      <c r="F137" s="475"/>
      <c r="G137" s="476">
        <v>3.4482758620689655E-2</v>
      </c>
      <c r="Y137" s="2">
        <v>33</v>
      </c>
      <c r="Z137" s="2" t="s">
        <v>349</v>
      </c>
    </row>
    <row r="138" spans="1:26" x14ac:dyDescent="0.4">
      <c r="A138" s="474">
        <f t="shared" si="16"/>
        <v>11</v>
      </c>
      <c r="B138" s="472" t="s">
        <v>223</v>
      </c>
      <c r="C138" s="473">
        <v>1</v>
      </c>
      <c r="D138" s="485">
        <f t="shared" si="15"/>
        <v>12</v>
      </c>
      <c r="E138" s="607"/>
      <c r="F138" s="477"/>
      <c r="G138" s="478">
        <v>3.4482758620689655E-2</v>
      </c>
      <c r="Y138" s="2">
        <v>34</v>
      </c>
      <c r="Z138" s="2" t="s">
        <v>349</v>
      </c>
    </row>
    <row r="139" spans="1:26" x14ac:dyDescent="0.4">
      <c r="A139" s="474">
        <f t="shared" si="16"/>
        <v>12</v>
      </c>
      <c r="B139" s="472" t="s">
        <v>217</v>
      </c>
      <c r="C139" s="473">
        <v>2</v>
      </c>
      <c r="E139" s="489" t="s">
        <v>43</v>
      </c>
      <c r="F139" s="490">
        <f>SUM(F127:F138)</f>
        <v>24</v>
      </c>
      <c r="G139" s="491"/>
      <c r="Y139" s="2">
        <v>35</v>
      </c>
      <c r="Z139" s="2" t="s">
        <v>349</v>
      </c>
    </row>
    <row r="140" spans="1:26" x14ac:dyDescent="0.4">
      <c r="A140" s="474">
        <f t="shared" si="16"/>
        <v>13</v>
      </c>
      <c r="B140" s="472" t="s">
        <v>240</v>
      </c>
      <c r="C140" s="473">
        <v>1</v>
      </c>
      <c r="Y140" s="2">
        <v>36</v>
      </c>
      <c r="Z140" s="2" t="s">
        <v>349</v>
      </c>
    </row>
    <row r="141" spans="1:26" x14ac:dyDescent="0.4">
      <c r="A141" s="474">
        <f t="shared" si="16"/>
        <v>14</v>
      </c>
      <c r="B141" s="472" t="s">
        <v>490</v>
      </c>
      <c r="C141" s="479">
        <v>1</v>
      </c>
      <c r="Y141" s="2">
        <v>37</v>
      </c>
      <c r="Z141" s="2" t="s">
        <v>349</v>
      </c>
    </row>
    <row r="142" spans="1:26" x14ac:dyDescent="0.4">
      <c r="A142" s="469">
        <f t="shared" si="16"/>
        <v>15</v>
      </c>
      <c r="B142" s="482" t="s">
        <v>247</v>
      </c>
      <c r="C142" s="483">
        <v>1</v>
      </c>
      <c r="Y142" s="2">
        <v>38</v>
      </c>
      <c r="Z142" s="2" t="s">
        <v>349</v>
      </c>
    </row>
    <row r="143" spans="1:26" x14ac:dyDescent="0.4">
      <c r="A143" s="474">
        <f t="shared" si="16"/>
        <v>16</v>
      </c>
      <c r="B143" s="472" t="s">
        <v>263</v>
      </c>
      <c r="C143" s="473">
        <v>5</v>
      </c>
      <c r="Y143" s="2">
        <v>39</v>
      </c>
      <c r="Z143" s="2" t="s">
        <v>349</v>
      </c>
    </row>
    <row r="144" spans="1:26" x14ac:dyDescent="0.4">
      <c r="A144" s="474">
        <f t="shared" si="16"/>
        <v>17</v>
      </c>
      <c r="B144" s="472" t="s">
        <v>454</v>
      </c>
      <c r="C144" s="473">
        <v>1</v>
      </c>
      <c r="Y144" s="2">
        <v>1</v>
      </c>
      <c r="Z144" s="2" t="s">
        <v>343</v>
      </c>
    </row>
    <row r="145" spans="1:26" x14ac:dyDescent="0.4">
      <c r="A145" s="474">
        <f t="shared" si="16"/>
        <v>18</v>
      </c>
      <c r="B145" s="472" t="s">
        <v>275</v>
      </c>
      <c r="C145" s="473">
        <v>1</v>
      </c>
      <c r="Y145" s="2">
        <v>2</v>
      </c>
      <c r="Z145" s="2" t="s">
        <v>343</v>
      </c>
    </row>
    <row r="146" spans="1:26" x14ac:dyDescent="0.4">
      <c r="A146" s="485">
        <f t="shared" si="16"/>
        <v>19</v>
      </c>
      <c r="B146" s="487" t="s">
        <v>214</v>
      </c>
      <c r="C146" s="479">
        <v>4</v>
      </c>
      <c r="O146" s="2">
        <v>1555</v>
      </c>
      <c r="Y146" s="2">
        <v>3</v>
      </c>
      <c r="Z146" s="2" t="s">
        <v>343</v>
      </c>
    </row>
    <row r="147" spans="1:26" x14ac:dyDescent="0.4">
      <c r="A147" s="474">
        <f t="shared" si="16"/>
        <v>20</v>
      </c>
      <c r="B147" s="472" t="s">
        <v>289</v>
      </c>
      <c r="C147" s="483">
        <v>1</v>
      </c>
      <c r="O147" s="2">
        <v>70</v>
      </c>
      <c r="P147" s="2">
        <f>0.39*O147</f>
        <v>27.3</v>
      </c>
      <c r="Y147" s="2">
        <v>4</v>
      </c>
      <c r="Z147" s="2" t="s">
        <v>343</v>
      </c>
    </row>
    <row r="148" spans="1:26" x14ac:dyDescent="0.4">
      <c r="A148" s="474">
        <f t="shared" si="16"/>
        <v>21</v>
      </c>
      <c r="B148" s="472" t="s">
        <v>220</v>
      </c>
      <c r="C148" s="473">
        <v>1</v>
      </c>
      <c r="Y148" s="2">
        <v>5</v>
      </c>
      <c r="Z148" s="2" t="s">
        <v>343</v>
      </c>
    </row>
    <row r="149" spans="1:26" x14ac:dyDescent="0.4">
      <c r="A149" s="474">
        <f t="shared" si="16"/>
        <v>22</v>
      </c>
      <c r="B149" s="472"/>
      <c r="C149" s="473"/>
      <c r="O149" s="2">
        <v>1582.5</v>
      </c>
      <c r="Y149" s="2">
        <v>1</v>
      </c>
      <c r="Z149" s="2" t="s">
        <v>348</v>
      </c>
    </row>
    <row r="150" spans="1:26" x14ac:dyDescent="0.4">
      <c r="A150" s="474">
        <f t="shared" si="16"/>
        <v>23</v>
      </c>
      <c r="B150" s="472"/>
      <c r="C150" s="473"/>
      <c r="O150" s="2">
        <v>10</v>
      </c>
      <c r="Y150" s="2">
        <v>2</v>
      </c>
      <c r="Z150" s="2" t="s">
        <v>348</v>
      </c>
    </row>
    <row r="151" spans="1:26" x14ac:dyDescent="0.4">
      <c r="A151" s="485">
        <f t="shared" si="16"/>
        <v>24</v>
      </c>
      <c r="B151" s="488"/>
      <c r="C151" s="479"/>
      <c r="Y151" s="2">
        <v>3</v>
      </c>
      <c r="Z151" s="2" t="s">
        <v>348</v>
      </c>
    </row>
    <row r="152" spans="1:26" x14ac:dyDescent="0.4">
      <c r="B152" s="489" t="s">
        <v>43</v>
      </c>
      <c r="C152" s="490">
        <f>SUM(C127:C151)</f>
        <v>317</v>
      </c>
      <c r="D152" s="179"/>
      <c r="Y152" s="2">
        <v>4</v>
      </c>
      <c r="Z152" s="2" t="s">
        <v>348</v>
      </c>
    </row>
    <row r="153" spans="1:26" x14ac:dyDescent="0.4">
      <c r="B153" s="9"/>
      <c r="D153" s="179"/>
      <c r="Y153" s="2">
        <v>1</v>
      </c>
      <c r="Z153" s="2" t="s">
        <v>405</v>
      </c>
    </row>
    <row r="154" spans="1:26" x14ac:dyDescent="0.4">
      <c r="B154" s="9"/>
      <c r="D154" s="179"/>
      <c r="Y154" s="2">
        <v>2</v>
      </c>
      <c r="Z154" s="2" t="s">
        <v>405</v>
      </c>
    </row>
    <row r="155" spans="1:26" x14ac:dyDescent="0.4">
      <c r="B155" s="9"/>
      <c r="D155" s="179"/>
      <c r="Y155" s="2">
        <v>3</v>
      </c>
      <c r="Z155" s="2" t="s">
        <v>405</v>
      </c>
    </row>
    <row r="156" spans="1:26" x14ac:dyDescent="0.4">
      <c r="B156" s="9"/>
      <c r="D156" s="179"/>
      <c r="Y156" s="2">
        <v>4</v>
      </c>
      <c r="Z156" s="2" t="s">
        <v>405</v>
      </c>
    </row>
    <row r="157" spans="1:26" x14ac:dyDescent="0.4">
      <c r="B157" s="9"/>
      <c r="D157" s="179"/>
      <c r="Y157" s="2">
        <v>5</v>
      </c>
      <c r="Z157" s="2" t="s">
        <v>405</v>
      </c>
    </row>
    <row r="158" spans="1:26" x14ac:dyDescent="0.4">
      <c r="B158" s="9"/>
      <c r="D158" s="179"/>
      <c r="Y158" s="2">
        <v>6</v>
      </c>
      <c r="Z158" s="2" t="s">
        <v>405</v>
      </c>
    </row>
    <row r="159" spans="1:26" x14ac:dyDescent="0.4">
      <c r="B159" s="9"/>
      <c r="D159" s="179"/>
      <c r="Y159" s="2">
        <v>7</v>
      </c>
      <c r="Z159" s="2" t="s">
        <v>405</v>
      </c>
    </row>
    <row r="160" spans="1:26" x14ac:dyDescent="0.4">
      <c r="B160" s="9"/>
      <c r="D160" s="179"/>
      <c r="Y160" s="2">
        <v>8</v>
      </c>
      <c r="Z160" s="2" t="s">
        <v>405</v>
      </c>
    </row>
    <row r="161" spans="2:26" x14ac:dyDescent="0.4">
      <c r="B161" s="9"/>
      <c r="D161" s="179"/>
      <c r="Y161" s="2">
        <v>9</v>
      </c>
      <c r="Z161" s="2" t="s">
        <v>405</v>
      </c>
    </row>
    <row r="162" spans="2:26" x14ac:dyDescent="0.4">
      <c r="B162" s="9"/>
      <c r="D162" s="179"/>
      <c r="Y162" s="2">
        <v>10</v>
      </c>
      <c r="Z162" s="2" t="s">
        <v>405</v>
      </c>
    </row>
    <row r="163" spans="2:26" x14ac:dyDescent="0.4">
      <c r="B163" s="9"/>
      <c r="D163" s="179"/>
      <c r="Y163" s="2">
        <v>1</v>
      </c>
      <c r="Z163" s="2" t="s">
        <v>354</v>
      </c>
    </row>
    <row r="164" spans="2:26" x14ac:dyDescent="0.4">
      <c r="B164" s="9"/>
      <c r="D164" s="179"/>
      <c r="Y164" s="2">
        <v>2</v>
      </c>
      <c r="Z164" s="2" t="s">
        <v>354</v>
      </c>
    </row>
    <row r="165" spans="2:26" x14ac:dyDescent="0.4">
      <c r="B165" s="9"/>
      <c r="D165" s="179"/>
      <c r="Y165" s="2">
        <v>3</v>
      </c>
      <c r="Z165" s="2" t="s">
        <v>354</v>
      </c>
    </row>
    <row r="166" spans="2:26" x14ac:dyDescent="0.4">
      <c r="B166" s="9"/>
      <c r="D166" s="179"/>
      <c r="Y166" s="2">
        <v>4</v>
      </c>
      <c r="Z166" s="2" t="s">
        <v>354</v>
      </c>
    </row>
    <row r="167" spans="2:26" x14ac:dyDescent="0.4">
      <c r="B167" s="9"/>
      <c r="D167" s="179"/>
      <c r="Y167" s="2">
        <v>5</v>
      </c>
      <c r="Z167" s="2" t="s">
        <v>354</v>
      </c>
    </row>
    <row r="168" spans="2:26" x14ac:dyDescent="0.4">
      <c r="B168" s="9"/>
      <c r="D168" s="179"/>
      <c r="Y168" s="2">
        <v>6</v>
      </c>
      <c r="Z168" s="2" t="s">
        <v>354</v>
      </c>
    </row>
    <row r="169" spans="2:26" x14ac:dyDescent="0.4">
      <c r="B169" s="9"/>
      <c r="D169" s="179"/>
      <c r="Y169" s="2">
        <v>7</v>
      </c>
      <c r="Z169" s="2" t="s">
        <v>354</v>
      </c>
    </row>
    <row r="170" spans="2:26" x14ac:dyDescent="0.4">
      <c r="B170" s="9"/>
      <c r="D170" s="179"/>
      <c r="Y170" s="2">
        <v>8</v>
      </c>
      <c r="Z170" s="2" t="s">
        <v>354</v>
      </c>
    </row>
    <row r="171" spans="2:26" x14ac:dyDescent="0.4">
      <c r="B171" s="9"/>
      <c r="D171" s="179"/>
      <c r="Y171" s="2">
        <v>9</v>
      </c>
      <c r="Z171" s="2" t="s">
        <v>354</v>
      </c>
    </row>
    <row r="172" spans="2:26" x14ac:dyDescent="0.4">
      <c r="B172" s="9"/>
      <c r="D172" s="179"/>
      <c r="Y172" s="2">
        <v>10</v>
      </c>
      <c r="Z172" s="2" t="s">
        <v>354</v>
      </c>
    </row>
    <row r="173" spans="2:26" x14ac:dyDescent="0.4">
      <c r="B173" s="9"/>
      <c r="D173" s="179"/>
      <c r="Y173" s="2">
        <v>11</v>
      </c>
      <c r="Z173" s="2" t="s">
        <v>354</v>
      </c>
    </row>
    <row r="174" spans="2:26" x14ac:dyDescent="0.4">
      <c r="B174" s="9"/>
      <c r="D174" s="179"/>
      <c r="Y174" s="2">
        <v>12</v>
      </c>
      <c r="Z174" s="2" t="s">
        <v>354</v>
      </c>
    </row>
    <row r="175" spans="2:26" x14ac:dyDescent="0.4">
      <c r="Y175" s="2">
        <v>13</v>
      </c>
      <c r="Z175" s="2" t="s">
        <v>354</v>
      </c>
    </row>
    <row r="176" spans="2:26" x14ac:dyDescent="0.4">
      <c r="Y176" s="2">
        <v>14</v>
      </c>
      <c r="Z176" s="2" t="s">
        <v>354</v>
      </c>
    </row>
    <row r="177" spans="25:26" s="2" customFormat="1" x14ac:dyDescent="0.4">
      <c r="Y177" s="2">
        <v>15</v>
      </c>
      <c r="Z177" s="2" t="s">
        <v>354</v>
      </c>
    </row>
    <row r="178" spans="25:26" s="2" customFormat="1" x14ac:dyDescent="0.4">
      <c r="Y178" s="2">
        <v>16</v>
      </c>
      <c r="Z178" s="2" t="s">
        <v>354</v>
      </c>
    </row>
    <row r="179" spans="25:26" s="2" customFormat="1" x14ac:dyDescent="0.4">
      <c r="Y179" s="2">
        <v>17</v>
      </c>
      <c r="Z179" s="2" t="s">
        <v>354</v>
      </c>
    </row>
    <row r="180" spans="25:26" s="2" customFormat="1" x14ac:dyDescent="0.4">
      <c r="Y180" s="2">
        <v>18</v>
      </c>
      <c r="Z180" s="2" t="s">
        <v>354</v>
      </c>
    </row>
    <row r="181" spans="25:26" s="2" customFormat="1" x14ac:dyDescent="0.4">
      <c r="Y181" s="2">
        <v>19</v>
      </c>
      <c r="Z181" s="2" t="s">
        <v>354</v>
      </c>
    </row>
    <row r="182" spans="25:26" s="2" customFormat="1" x14ac:dyDescent="0.4">
      <c r="Y182" s="2">
        <v>20</v>
      </c>
      <c r="Z182" s="2" t="s">
        <v>354</v>
      </c>
    </row>
    <row r="183" spans="25:26" s="2" customFormat="1" x14ac:dyDescent="0.4">
      <c r="Y183" s="2">
        <v>1</v>
      </c>
      <c r="Z183" s="2" t="s">
        <v>359</v>
      </c>
    </row>
    <row r="184" spans="25:26" s="2" customFormat="1" x14ac:dyDescent="0.4">
      <c r="Y184" s="2">
        <v>1</v>
      </c>
      <c r="Z184" s="2" t="s">
        <v>364</v>
      </c>
    </row>
    <row r="185" spans="25:26" s="2" customFormat="1" x14ac:dyDescent="0.4">
      <c r="Y185" s="2">
        <v>2</v>
      </c>
      <c r="Z185" s="2" t="s">
        <v>364</v>
      </c>
    </row>
    <row r="186" spans="25:26" s="2" customFormat="1" x14ac:dyDescent="0.4">
      <c r="Y186" s="2">
        <v>3</v>
      </c>
      <c r="Z186" s="2" t="s">
        <v>364</v>
      </c>
    </row>
    <row r="187" spans="25:26" s="2" customFormat="1" x14ac:dyDescent="0.4">
      <c r="Y187" s="2">
        <v>4</v>
      </c>
      <c r="Z187" s="2" t="s">
        <v>364</v>
      </c>
    </row>
    <row r="188" spans="25:26" s="2" customFormat="1" x14ac:dyDescent="0.4">
      <c r="Y188" s="2">
        <v>5</v>
      </c>
      <c r="Z188" s="2" t="s">
        <v>364</v>
      </c>
    </row>
    <row r="189" spans="25:26" s="2" customFormat="1" x14ac:dyDescent="0.4">
      <c r="Y189" s="2">
        <v>6</v>
      </c>
      <c r="Z189" s="2" t="s">
        <v>364</v>
      </c>
    </row>
    <row r="190" spans="25:26" s="2" customFormat="1" x14ac:dyDescent="0.4">
      <c r="Y190" s="2">
        <v>7</v>
      </c>
      <c r="Z190" s="2" t="s">
        <v>364</v>
      </c>
    </row>
    <row r="191" spans="25:26" s="2" customFormat="1" x14ac:dyDescent="0.4">
      <c r="Y191" s="2">
        <v>8</v>
      </c>
      <c r="Z191" s="2" t="s">
        <v>364</v>
      </c>
    </row>
    <row r="192" spans="25:26" s="2" customFormat="1" x14ac:dyDescent="0.4">
      <c r="Y192" s="2">
        <v>9</v>
      </c>
      <c r="Z192" s="2" t="s">
        <v>364</v>
      </c>
    </row>
    <row r="193" spans="25:26" s="2" customFormat="1" x14ac:dyDescent="0.4">
      <c r="Y193" s="2">
        <v>10</v>
      </c>
      <c r="Z193" s="2" t="s">
        <v>364</v>
      </c>
    </row>
    <row r="194" spans="25:26" s="2" customFormat="1" x14ac:dyDescent="0.4">
      <c r="Y194" s="2">
        <v>11</v>
      </c>
      <c r="Z194" s="2" t="s">
        <v>364</v>
      </c>
    </row>
    <row r="195" spans="25:26" s="2" customFormat="1" x14ac:dyDescent="0.4">
      <c r="Y195" s="2">
        <v>12</v>
      </c>
      <c r="Z195" s="2" t="s">
        <v>364</v>
      </c>
    </row>
    <row r="196" spans="25:26" s="2" customFormat="1" x14ac:dyDescent="0.4">
      <c r="Y196" s="2">
        <v>13</v>
      </c>
      <c r="Z196" s="2" t="s">
        <v>364</v>
      </c>
    </row>
    <row r="197" spans="25:26" s="2" customFormat="1" x14ac:dyDescent="0.4">
      <c r="Y197" s="2">
        <v>14</v>
      </c>
      <c r="Z197" s="2" t="s">
        <v>364</v>
      </c>
    </row>
    <row r="198" spans="25:26" s="2" customFormat="1" x14ac:dyDescent="0.4">
      <c r="Y198" s="2">
        <v>15</v>
      </c>
      <c r="Z198" s="2" t="s">
        <v>364</v>
      </c>
    </row>
    <row r="199" spans="25:26" s="2" customFormat="1" x14ac:dyDescent="0.4">
      <c r="Y199" s="2">
        <v>16</v>
      </c>
      <c r="Z199" s="2" t="s">
        <v>364</v>
      </c>
    </row>
    <row r="200" spans="25:26" s="2" customFormat="1" x14ac:dyDescent="0.4">
      <c r="Y200" s="2">
        <v>17</v>
      </c>
      <c r="Z200" s="2" t="s">
        <v>364</v>
      </c>
    </row>
    <row r="201" spans="25:26" s="2" customFormat="1" x14ac:dyDescent="0.4">
      <c r="Y201" s="2">
        <v>18</v>
      </c>
      <c r="Z201" s="2" t="s">
        <v>364</v>
      </c>
    </row>
    <row r="202" spans="25:26" s="2" customFormat="1" x14ac:dyDescent="0.4">
      <c r="Y202" s="2">
        <v>19</v>
      </c>
      <c r="Z202" s="2" t="s">
        <v>364</v>
      </c>
    </row>
    <row r="203" spans="25:26" s="2" customFormat="1" x14ac:dyDescent="0.4">
      <c r="Y203" s="2">
        <v>20</v>
      </c>
      <c r="Z203" s="2" t="s">
        <v>364</v>
      </c>
    </row>
    <row r="204" spans="25:26" s="2" customFormat="1" x14ac:dyDescent="0.4">
      <c r="Y204" s="2">
        <v>21</v>
      </c>
      <c r="Z204" s="2" t="s">
        <v>364</v>
      </c>
    </row>
    <row r="205" spans="25:26" s="2" customFormat="1" x14ac:dyDescent="0.4">
      <c r="Y205" s="2">
        <v>22</v>
      </c>
      <c r="Z205" s="2" t="s">
        <v>364</v>
      </c>
    </row>
    <row r="206" spans="25:26" s="2" customFormat="1" x14ac:dyDescent="0.4">
      <c r="Y206" s="2">
        <v>23</v>
      </c>
      <c r="Z206" s="2" t="s">
        <v>364</v>
      </c>
    </row>
    <row r="207" spans="25:26" s="2" customFormat="1" x14ac:dyDescent="0.4">
      <c r="Y207" s="2">
        <v>24</v>
      </c>
      <c r="Z207" s="2" t="s">
        <v>364</v>
      </c>
    </row>
    <row r="208" spans="25:26" s="2" customFormat="1" x14ac:dyDescent="0.4">
      <c r="Y208" s="2">
        <v>25</v>
      </c>
      <c r="Z208" s="2" t="s">
        <v>364</v>
      </c>
    </row>
    <row r="209" spans="25:26" s="2" customFormat="1" x14ac:dyDescent="0.4">
      <c r="Y209" s="2">
        <v>26</v>
      </c>
      <c r="Z209" s="2" t="s">
        <v>364</v>
      </c>
    </row>
    <row r="210" spans="25:26" s="2" customFormat="1" x14ac:dyDescent="0.4">
      <c r="Y210" s="2">
        <v>27</v>
      </c>
      <c r="Z210" s="2" t="s">
        <v>364</v>
      </c>
    </row>
    <row r="211" spans="25:26" s="2" customFormat="1" x14ac:dyDescent="0.4">
      <c r="Y211" s="2">
        <v>28</v>
      </c>
      <c r="Z211" s="2" t="s">
        <v>364</v>
      </c>
    </row>
    <row r="212" spans="25:26" s="2" customFormat="1" x14ac:dyDescent="0.4">
      <c r="Y212" s="2">
        <v>29</v>
      </c>
      <c r="Z212" s="2" t="s">
        <v>364</v>
      </c>
    </row>
    <row r="213" spans="25:26" s="2" customFormat="1" x14ac:dyDescent="0.4">
      <c r="Y213" s="2">
        <v>30</v>
      </c>
      <c r="Z213" s="2" t="s">
        <v>364</v>
      </c>
    </row>
    <row r="214" spans="25:26" s="2" customFormat="1" x14ac:dyDescent="0.4">
      <c r="Y214" s="2">
        <v>31</v>
      </c>
      <c r="Z214" s="2" t="s">
        <v>364</v>
      </c>
    </row>
    <row r="215" spans="25:26" s="2" customFormat="1" x14ac:dyDescent="0.4">
      <c r="Y215" s="2">
        <v>1</v>
      </c>
      <c r="Z215" s="2" t="s">
        <v>396</v>
      </c>
    </row>
    <row r="216" spans="25:26" s="2" customFormat="1" x14ac:dyDescent="0.4">
      <c r="Y216" s="2">
        <v>1</v>
      </c>
      <c r="Z216" s="2" t="s">
        <v>416</v>
      </c>
    </row>
    <row r="217" spans="25:26" s="2" customFormat="1" x14ac:dyDescent="0.4">
      <c r="Y217" s="2">
        <v>2</v>
      </c>
      <c r="Z217" s="2" t="s">
        <v>416</v>
      </c>
    </row>
    <row r="218" spans="25:26" s="2" customFormat="1" x14ac:dyDescent="0.4">
      <c r="Y218" s="2">
        <v>3</v>
      </c>
      <c r="Z218" s="2" t="s">
        <v>416</v>
      </c>
    </row>
    <row r="219" spans="25:26" s="2" customFormat="1" x14ac:dyDescent="0.4">
      <c r="Y219" s="2">
        <v>4</v>
      </c>
      <c r="Z219" s="2" t="s">
        <v>416</v>
      </c>
    </row>
    <row r="220" spans="25:26" s="2" customFormat="1" x14ac:dyDescent="0.4">
      <c r="Y220" s="2">
        <v>1</v>
      </c>
      <c r="Z220" s="2" t="s">
        <v>369</v>
      </c>
    </row>
    <row r="221" spans="25:26" s="2" customFormat="1" x14ac:dyDescent="0.4">
      <c r="Y221" s="2">
        <v>2</v>
      </c>
      <c r="Z221" s="2" t="s">
        <v>369</v>
      </c>
    </row>
    <row r="222" spans="25:26" s="2" customFormat="1" x14ac:dyDescent="0.4">
      <c r="Y222" s="2">
        <v>3</v>
      </c>
      <c r="Z222" s="2" t="s">
        <v>369</v>
      </c>
    </row>
    <row r="223" spans="25:26" s="2" customFormat="1" x14ac:dyDescent="0.4">
      <c r="Y223" s="2">
        <v>1</v>
      </c>
      <c r="Z223" s="2" t="s">
        <v>372</v>
      </c>
    </row>
    <row r="224" spans="25:26" s="2" customFormat="1" x14ac:dyDescent="0.4">
      <c r="Y224" s="2">
        <v>2</v>
      </c>
      <c r="Z224" s="2" t="s">
        <v>372</v>
      </c>
    </row>
    <row r="225" spans="25:26" s="2" customFormat="1" x14ac:dyDescent="0.4">
      <c r="Y225" s="2">
        <v>3</v>
      </c>
      <c r="Z225" s="2" t="s">
        <v>372</v>
      </c>
    </row>
    <row r="226" spans="25:26" s="2" customFormat="1" x14ac:dyDescent="0.4">
      <c r="Y226" s="2">
        <v>4</v>
      </c>
      <c r="Z226" s="2" t="s">
        <v>372</v>
      </c>
    </row>
    <row r="227" spans="25:26" s="2" customFormat="1" x14ac:dyDescent="0.4">
      <c r="Y227" s="2">
        <v>5</v>
      </c>
      <c r="Z227" s="2" t="s">
        <v>372</v>
      </c>
    </row>
    <row r="228" spans="25:26" s="2" customFormat="1" x14ac:dyDescent="0.4">
      <c r="Y228" s="2">
        <v>6</v>
      </c>
      <c r="Z228" s="2" t="s">
        <v>372</v>
      </c>
    </row>
    <row r="229" spans="25:26" s="2" customFormat="1" x14ac:dyDescent="0.4">
      <c r="Y229" s="2">
        <v>7</v>
      </c>
      <c r="Z229" s="2" t="s">
        <v>372</v>
      </c>
    </row>
    <row r="230" spans="25:26" s="2" customFormat="1" x14ac:dyDescent="0.4">
      <c r="Y230" s="2">
        <v>8</v>
      </c>
      <c r="Z230" s="2" t="s">
        <v>372</v>
      </c>
    </row>
    <row r="231" spans="25:26" s="2" customFormat="1" x14ac:dyDescent="0.4">
      <c r="Y231" s="2">
        <v>9</v>
      </c>
      <c r="Z231" s="2" t="s">
        <v>372</v>
      </c>
    </row>
    <row r="232" spans="25:26" s="2" customFormat="1" x14ac:dyDescent="0.4">
      <c r="Y232" s="2">
        <v>10</v>
      </c>
      <c r="Z232" s="2" t="s">
        <v>372</v>
      </c>
    </row>
    <row r="233" spans="25:26" s="2" customFormat="1" x14ac:dyDescent="0.4">
      <c r="Y233" s="2">
        <v>11</v>
      </c>
      <c r="Z233" s="2" t="s">
        <v>372</v>
      </c>
    </row>
    <row r="234" spans="25:26" s="2" customFormat="1" x14ac:dyDescent="0.4">
      <c r="Y234" s="2">
        <v>12</v>
      </c>
      <c r="Z234" s="2" t="s">
        <v>372</v>
      </c>
    </row>
    <row r="235" spans="25:26" s="2" customFormat="1" x14ac:dyDescent="0.4">
      <c r="Y235" s="2">
        <v>13</v>
      </c>
      <c r="Z235" s="2" t="s">
        <v>372</v>
      </c>
    </row>
    <row r="236" spans="25:26" s="2" customFormat="1" x14ac:dyDescent="0.4">
      <c r="Y236" s="2">
        <v>14</v>
      </c>
      <c r="Z236" s="2" t="s">
        <v>372</v>
      </c>
    </row>
    <row r="237" spans="25:26" s="2" customFormat="1" x14ac:dyDescent="0.4">
      <c r="Y237" s="2">
        <v>1</v>
      </c>
      <c r="Z237" s="2" t="s">
        <v>376</v>
      </c>
    </row>
    <row r="238" spans="25:26" s="2" customFormat="1" x14ac:dyDescent="0.4">
      <c r="Y238" s="2">
        <v>2</v>
      </c>
      <c r="Z238" s="2" t="s">
        <v>376</v>
      </c>
    </row>
    <row r="239" spans="25:26" s="2" customFormat="1" x14ac:dyDescent="0.4">
      <c r="Y239" s="2">
        <v>1</v>
      </c>
      <c r="Z239" s="2" t="s">
        <v>385</v>
      </c>
    </row>
    <row r="240" spans="25:26" s="2" customFormat="1" x14ac:dyDescent="0.4">
      <c r="Y240" s="2">
        <v>1</v>
      </c>
      <c r="Z240" s="2" t="s">
        <v>400</v>
      </c>
    </row>
    <row r="241" spans="25:26" s="2" customFormat="1" x14ac:dyDescent="0.4">
      <c r="Y241" s="2">
        <v>2</v>
      </c>
      <c r="Z241" s="2" t="s">
        <v>400</v>
      </c>
    </row>
    <row r="242" spans="25:26" s="2" customFormat="1" x14ac:dyDescent="0.4">
      <c r="Y242" s="2">
        <v>3</v>
      </c>
      <c r="Z242" s="2" t="s">
        <v>400</v>
      </c>
    </row>
    <row r="243" spans="25:26" s="2" customFormat="1" x14ac:dyDescent="0.4">
      <c r="Y243" s="2">
        <v>4</v>
      </c>
      <c r="Z243" s="2" t="s">
        <v>400</v>
      </c>
    </row>
    <row r="244" spans="25:26" s="2" customFormat="1" x14ac:dyDescent="0.4">
      <c r="Y244" s="2">
        <v>5</v>
      </c>
      <c r="Z244" s="2" t="s">
        <v>400</v>
      </c>
    </row>
    <row r="245" spans="25:26" s="2" customFormat="1" x14ac:dyDescent="0.4">
      <c r="Y245" s="2">
        <v>6</v>
      </c>
      <c r="Z245" s="2" t="s">
        <v>400</v>
      </c>
    </row>
    <row r="246" spans="25:26" s="2" customFormat="1" x14ac:dyDescent="0.4">
      <c r="Y246" s="2">
        <v>7</v>
      </c>
      <c r="Z246" s="2" t="s">
        <v>400</v>
      </c>
    </row>
    <row r="247" spans="25:26" s="2" customFormat="1" x14ac:dyDescent="0.4">
      <c r="Y247" s="2">
        <v>8</v>
      </c>
      <c r="Z247" s="2" t="s">
        <v>400</v>
      </c>
    </row>
    <row r="248" spans="25:26" s="2" customFormat="1" x14ac:dyDescent="0.4">
      <c r="Y248" s="2">
        <v>9</v>
      </c>
      <c r="Z248" s="2" t="s">
        <v>400</v>
      </c>
    </row>
    <row r="249" spans="25:26" s="2" customFormat="1" x14ac:dyDescent="0.4">
      <c r="Y249" s="2">
        <v>10</v>
      </c>
      <c r="Z249" s="2" t="s">
        <v>400</v>
      </c>
    </row>
    <row r="250" spans="25:26" s="2" customFormat="1" x14ac:dyDescent="0.4">
      <c r="Y250" s="2">
        <v>11</v>
      </c>
      <c r="Z250" s="2" t="s">
        <v>400</v>
      </c>
    </row>
    <row r="251" spans="25:26" s="2" customFormat="1" x14ac:dyDescent="0.4">
      <c r="Y251" s="2">
        <v>12</v>
      </c>
      <c r="Z251" s="2" t="s">
        <v>400</v>
      </c>
    </row>
    <row r="252" spans="25:26" s="2" customFormat="1" x14ac:dyDescent="0.4">
      <c r="Y252" s="2">
        <v>13</v>
      </c>
      <c r="Z252" s="2" t="s">
        <v>400</v>
      </c>
    </row>
    <row r="253" spans="25:26" s="2" customFormat="1" x14ac:dyDescent="0.4">
      <c r="Y253" s="2">
        <v>14</v>
      </c>
      <c r="Z253" s="2" t="s">
        <v>400</v>
      </c>
    </row>
    <row r="254" spans="25:26" s="2" customFormat="1" x14ac:dyDescent="0.4">
      <c r="Y254" s="2">
        <v>15</v>
      </c>
      <c r="Z254" s="2" t="s">
        <v>400</v>
      </c>
    </row>
    <row r="255" spans="25:26" s="2" customFormat="1" x14ac:dyDescent="0.4">
      <c r="Y255" s="2">
        <v>16</v>
      </c>
      <c r="Z255" s="2" t="s">
        <v>400</v>
      </c>
    </row>
    <row r="256" spans="25:26" s="2" customFormat="1" x14ac:dyDescent="0.4">
      <c r="Y256" s="2">
        <v>17</v>
      </c>
      <c r="Z256" s="2" t="s">
        <v>400</v>
      </c>
    </row>
    <row r="257" spans="25:26" s="2" customFormat="1" x14ac:dyDescent="0.4">
      <c r="Y257" s="2">
        <v>18</v>
      </c>
      <c r="Z257" s="2" t="s">
        <v>400</v>
      </c>
    </row>
    <row r="258" spans="25:26" s="2" customFormat="1" x14ac:dyDescent="0.4">
      <c r="Y258" s="2">
        <v>19</v>
      </c>
      <c r="Z258" s="2" t="s">
        <v>400</v>
      </c>
    </row>
    <row r="259" spans="25:26" s="2" customFormat="1" x14ac:dyDescent="0.4">
      <c r="Y259" s="2">
        <v>20</v>
      </c>
      <c r="Z259" s="2" t="s">
        <v>400</v>
      </c>
    </row>
    <row r="260" spans="25:26" s="2" customFormat="1" x14ac:dyDescent="0.4">
      <c r="Y260" s="2">
        <v>21</v>
      </c>
      <c r="Z260" s="2" t="s">
        <v>400</v>
      </c>
    </row>
    <row r="261" spans="25:26" s="2" customFormat="1" x14ac:dyDescent="0.4">
      <c r="Y261" s="2">
        <v>22</v>
      </c>
      <c r="Z261" s="2" t="s">
        <v>400</v>
      </c>
    </row>
    <row r="262" spans="25:26" s="2" customFormat="1" x14ac:dyDescent="0.4">
      <c r="Y262" s="2">
        <v>23</v>
      </c>
      <c r="Z262" s="2" t="s">
        <v>400</v>
      </c>
    </row>
    <row r="263" spans="25:26" s="2" customFormat="1" x14ac:dyDescent="0.4">
      <c r="Y263" s="2">
        <v>24</v>
      </c>
      <c r="Z263" s="2" t="s">
        <v>400</v>
      </c>
    </row>
    <row r="264" spans="25:26" s="2" customFormat="1" x14ac:dyDescent="0.4">
      <c r="Y264" s="2">
        <v>25</v>
      </c>
      <c r="Z264" s="2" t="s">
        <v>400</v>
      </c>
    </row>
    <row r="265" spans="25:26" s="2" customFormat="1" x14ac:dyDescent="0.4">
      <c r="Y265" s="2">
        <v>26</v>
      </c>
      <c r="Z265" s="2" t="s">
        <v>400</v>
      </c>
    </row>
    <row r="266" spans="25:26" s="2" customFormat="1" x14ac:dyDescent="0.4">
      <c r="Y266" s="2">
        <v>27</v>
      </c>
      <c r="Z266" s="2" t="s">
        <v>400</v>
      </c>
    </row>
    <row r="267" spans="25:26" s="2" customFormat="1" x14ac:dyDescent="0.4">
      <c r="Y267" s="2">
        <v>28</v>
      </c>
      <c r="Z267" s="2" t="s">
        <v>400</v>
      </c>
    </row>
    <row r="268" spans="25:26" s="2" customFormat="1" x14ac:dyDescent="0.4">
      <c r="Y268" s="2">
        <v>29</v>
      </c>
      <c r="Z268" s="2" t="s">
        <v>400</v>
      </c>
    </row>
    <row r="269" spans="25:26" s="2" customFormat="1" x14ac:dyDescent="0.4">
      <c r="Y269" s="2">
        <v>30</v>
      </c>
      <c r="Z269" s="2" t="s">
        <v>400</v>
      </c>
    </row>
    <row r="270" spans="25:26" s="2" customFormat="1" x14ac:dyDescent="0.4">
      <c r="Y270" s="2">
        <v>31</v>
      </c>
      <c r="Z270" s="2" t="s">
        <v>400</v>
      </c>
    </row>
    <row r="271" spans="25:26" s="2" customFormat="1" x14ac:dyDescent="0.4">
      <c r="Y271" s="2">
        <v>32</v>
      </c>
      <c r="Z271" s="2" t="s">
        <v>400</v>
      </c>
    </row>
    <row r="272" spans="25:26" s="2" customFormat="1" x14ac:dyDescent="0.4">
      <c r="Y272" s="2">
        <v>33</v>
      </c>
      <c r="Z272" s="2" t="s">
        <v>400</v>
      </c>
    </row>
    <row r="273" spans="25:26" s="2" customFormat="1" x14ac:dyDescent="0.4">
      <c r="Y273" s="2">
        <v>34</v>
      </c>
      <c r="Z273" s="2" t="s">
        <v>400</v>
      </c>
    </row>
    <row r="274" spans="25:26" s="2" customFormat="1" x14ac:dyDescent="0.4">
      <c r="Y274" s="2">
        <v>35</v>
      </c>
      <c r="Z274" s="2" t="s">
        <v>400</v>
      </c>
    </row>
    <row r="275" spans="25:26" s="2" customFormat="1" x14ac:dyDescent="0.4">
      <c r="Y275" s="2">
        <v>36</v>
      </c>
      <c r="Z275" s="2" t="s">
        <v>400</v>
      </c>
    </row>
    <row r="276" spans="25:26" s="2" customFormat="1" x14ac:dyDescent="0.4">
      <c r="Y276" s="2">
        <v>37</v>
      </c>
      <c r="Z276" s="2" t="s">
        <v>400</v>
      </c>
    </row>
    <row r="277" spans="25:26" s="2" customFormat="1" x14ac:dyDescent="0.4">
      <c r="Y277" s="2">
        <v>38</v>
      </c>
      <c r="Z277" s="2" t="s">
        <v>400</v>
      </c>
    </row>
    <row r="278" spans="25:26" s="2" customFormat="1" x14ac:dyDescent="0.4">
      <c r="Y278" s="2">
        <v>39</v>
      </c>
      <c r="Z278" s="2" t="s">
        <v>400</v>
      </c>
    </row>
    <row r="279" spans="25:26" s="2" customFormat="1" x14ac:dyDescent="0.4">
      <c r="Y279" s="2">
        <v>40</v>
      </c>
      <c r="Z279" s="2" t="s">
        <v>400</v>
      </c>
    </row>
    <row r="280" spans="25:26" s="2" customFormat="1" x14ac:dyDescent="0.4">
      <c r="Y280" s="2">
        <v>41</v>
      </c>
      <c r="Z280" s="2" t="s">
        <v>400</v>
      </c>
    </row>
    <row r="281" spans="25:26" s="2" customFormat="1" x14ac:dyDescent="0.4">
      <c r="Y281" s="2">
        <v>42</v>
      </c>
      <c r="Z281" s="2" t="s">
        <v>400</v>
      </c>
    </row>
    <row r="282" spans="25:26" s="2" customFormat="1" x14ac:dyDescent="0.4">
      <c r="Y282" s="2">
        <v>43</v>
      </c>
      <c r="Z282" s="2" t="s">
        <v>400</v>
      </c>
    </row>
    <row r="283" spans="25:26" s="2" customFormat="1" x14ac:dyDescent="0.4">
      <c r="Y283" s="2">
        <v>44</v>
      </c>
      <c r="Z283" s="2" t="s">
        <v>400</v>
      </c>
    </row>
    <row r="284" spans="25:26" s="2" customFormat="1" x14ac:dyDescent="0.4">
      <c r="Y284" s="2">
        <v>45</v>
      </c>
      <c r="Z284" s="2" t="s">
        <v>400</v>
      </c>
    </row>
    <row r="285" spans="25:26" s="2" customFormat="1" x14ac:dyDescent="0.4">
      <c r="Y285" s="2">
        <v>46</v>
      </c>
      <c r="Z285" s="2" t="s">
        <v>400</v>
      </c>
    </row>
    <row r="286" spans="25:26" s="2" customFormat="1" x14ac:dyDescent="0.4">
      <c r="Y286" s="2">
        <v>47</v>
      </c>
      <c r="Z286" s="2" t="s">
        <v>400</v>
      </c>
    </row>
    <row r="287" spans="25:26" s="2" customFormat="1" x14ac:dyDescent="0.4">
      <c r="Y287" s="2">
        <v>48</v>
      </c>
      <c r="Z287" s="2" t="s">
        <v>400</v>
      </c>
    </row>
    <row r="288" spans="25:26" s="2" customFormat="1" x14ac:dyDescent="0.4">
      <c r="Y288" s="2">
        <v>49</v>
      </c>
      <c r="Z288" s="2" t="s">
        <v>400</v>
      </c>
    </row>
    <row r="289" spans="25:26" s="2" customFormat="1" x14ac:dyDescent="0.4">
      <c r="Y289" s="2">
        <v>50</v>
      </c>
      <c r="Z289" s="2" t="s">
        <v>400</v>
      </c>
    </row>
    <row r="290" spans="25:26" s="2" customFormat="1" x14ac:dyDescent="0.4">
      <c r="Y290" s="2">
        <v>51</v>
      </c>
      <c r="Z290" s="2" t="s">
        <v>400</v>
      </c>
    </row>
    <row r="291" spans="25:26" s="2" customFormat="1" x14ac:dyDescent="0.4">
      <c r="Y291" s="2">
        <v>52</v>
      </c>
      <c r="Z291" s="2" t="s">
        <v>400</v>
      </c>
    </row>
    <row r="292" spans="25:26" s="2" customFormat="1" x14ac:dyDescent="0.4">
      <c r="Y292" s="2">
        <v>53</v>
      </c>
      <c r="Z292" s="2" t="s">
        <v>400</v>
      </c>
    </row>
    <row r="293" spans="25:26" s="2" customFormat="1" x14ac:dyDescent="0.4">
      <c r="Y293" s="2">
        <v>54</v>
      </c>
      <c r="Z293" s="2" t="s">
        <v>400</v>
      </c>
    </row>
    <row r="294" spans="25:26" s="2" customFormat="1" x14ac:dyDescent="0.4">
      <c r="Y294" s="2">
        <v>55</v>
      </c>
      <c r="Z294" s="2" t="s">
        <v>400</v>
      </c>
    </row>
    <row r="295" spans="25:26" s="2" customFormat="1" x14ac:dyDescent="0.4">
      <c r="Y295" s="2">
        <v>56</v>
      </c>
      <c r="Z295" s="2" t="s">
        <v>400</v>
      </c>
    </row>
    <row r="296" spans="25:26" s="2" customFormat="1" x14ac:dyDescent="0.4">
      <c r="Y296" s="2">
        <v>57</v>
      </c>
      <c r="Z296" s="2" t="s">
        <v>400</v>
      </c>
    </row>
    <row r="297" spans="25:26" s="2" customFormat="1" x14ac:dyDescent="0.4">
      <c r="Y297" s="2">
        <v>58</v>
      </c>
      <c r="Z297" s="2" t="s">
        <v>400</v>
      </c>
    </row>
    <row r="298" spans="25:26" s="2" customFormat="1" x14ac:dyDescent="0.4">
      <c r="Y298" s="2">
        <v>59</v>
      </c>
      <c r="Z298" s="2" t="s">
        <v>400</v>
      </c>
    </row>
    <row r="299" spans="25:26" s="2" customFormat="1" x14ac:dyDescent="0.4">
      <c r="Y299" s="2">
        <v>60</v>
      </c>
      <c r="Z299" s="2" t="s">
        <v>400</v>
      </c>
    </row>
    <row r="300" spans="25:26" s="2" customFormat="1" x14ac:dyDescent="0.4">
      <c r="Y300" s="2">
        <v>61</v>
      </c>
      <c r="Z300" s="2" t="s">
        <v>400</v>
      </c>
    </row>
    <row r="301" spans="25:26" s="2" customFormat="1" x14ac:dyDescent="0.4">
      <c r="Y301" s="2">
        <v>62</v>
      </c>
      <c r="Z301" s="2" t="s">
        <v>400</v>
      </c>
    </row>
    <row r="302" spans="25:26" s="2" customFormat="1" x14ac:dyDescent="0.4">
      <c r="Y302" s="2">
        <v>63</v>
      </c>
      <c r="Z302" s="2" t="s">
        <v>400</v>
      </c>
    </row>
    <row r="303" spans="25:26" s="2" customFormat="1" x14ac:dyDescent="0.4">
      <c r="Y303" s="2">
        <v>64</v>
      </c>
      <c r="Z303" s="2" t="s">
        <v>400</v>
      </c>
    </row>
    <row r="304" spans="25:26" s="2" customFormat="1" x14ac:dyDescent="0.4">
      <c r="Y304" s="2">
        <v>65</v>
      </c>
      <c r="Z304" s="2" t="s">
        <v>400</v>
      </c>
    </row>
    <row r="305" spans="25:26" s="2" customFormat="1" x14ac:dyDescent="0.4">
      <c r="Y305" s="2">
        <v>66</v>
      </c>
      <c r="Z305" s="2" t="s">
        <v>400</v>
      </c>
    </row>
    <row r="306" spans="25:26" s="2" customFormat="1" x14ac:dyDescent="0.4">
      <c r="Y306" s="2">
        <v>67</v>
      </c>
      <c r="Z306" s="2" t="s">
        <v>400</v>
      </c>
    </row>
    <row r="307" spans="25:26" s="2" customFormat="1" x14ac:dyDescent="0.4">
      <c r="Y307" s="2">
        <v>68</v>
      </c>
      <c r="Z307" s="2" t="s">
        <v>400</v>
      </c>
    </row>
    <row r="308" spans="25:26" s="2" customFormat="1" x14ac:dyDescent="0.4">
      <c r="Y308" s="2">
        <v>69</v>
      </c>
      <c r="Z308" s="2" t="s">
        <v>400</v>
      </c>
    </row>
    <row r="309" spans="25:26" s="2" customFormat="1" x14ac:dyDescent="0.4">
      <c r="Y309" s="2">
        <v>70</v>
      </c>
      <c r="Z309" s="2" t="s">
        <v>400</v>
      </c>
    </row>
    <row r="310" spans="25:26" s="2" customFormat="1" x14ac:dyDescent="0.4">
      <c r="Y310" s="2">
        <v>71</v>
      </c>
      <c r="Z310" s="2" t="s">
        <v>400</v>
      </c>
    </row>
    <row r="311" spans="25:26" s="2" customFormat="1" x14ac:dyDescent="0.4">
      <c r="Y311" s="2">
        <v>72</v>
      </c>
      <c r="Z311" s="2" t="s">
        <v>400</v>
      </c>
    </row>
    <row r="312" spans="25:26" s="2" customFormat="1" x14ac:dyDescent="0.4">
      <c r="Y312" s="2">
        <v>73</v>
      </c>
      <c r="Z312" s="2" t="s">
        <v>400</v>
      </c>
    </row>
    <row r="313" spans="25:26" s="2" customFormat="1" x14ac:dyDescent="0.4">
      <c r="Y313" s="2">
        <v>74</v>
      </c>
      <c r="Z313" s="2" t="s">
        <v>400</v>
      </c>
    </row>
    <row r="314" spans="25:26" s="2" customFormat="1" x14ac:dyDescent="0.4">
      <c r="Y314" s="2">
        <v>75</v>
      </c>
      <c r="Z314" s="2" t="s">
        <v>400</v>
      </c>
    </row>
    <row r="315" spans="25:26" s="2" customFormat="1" x14ac:dyDescent="0.4">
      <c r="Y315" s="2">
        <v>76</v>
      </c>
      <c r="Z315" s="2" t="s">
        <v>400</v>
      </c>
    </row>
    <row r="316" spans="25:26" s="2" customFormat="1" x14ac:dyDescent="0.4">
      <c r="Y316" s="2">
        <v>77</v>
      </c>
      <c r="Z316" s="2" t="s">
        <v>400</v>
      </c>
    </row>
    <row r="317" spans="25:26" s="2" customFormat="1" x14ac:dyDescent="0.4">
      <c r="Y317" s="2">
        <v>78</v>
      </c>
      <c r="Z317" s="2" t="s">
        <v>400</v>
      </c>
    </row>
    <row r="318" spans="25:26" s="2" customFormat="1" x14ac:dyDescent="0.4">
      <c r="Y318" s="2">
        <v>79</v>
      </c>
      <c r="Z318" s="2" t="s">
        <v>400</v>
      </c>
    </row>
    <row r="319" spans="25:26" s="2" customFormat="1" x14ac:dyDescent="0.4">
      <c r="Y319" s="2">
        <v>80</v>
      </c>
      <c r="Z319" s="2" t="s">
        <v>400</v>
      </c>
    </row>
    <row r="320" spans="25:26" s="2" customFormat="1" x14ac:dyDescent="0.4">
      <c r="Y320" s="2">
        <v>81</v>
      </c>
      <c r="Z320" s="2" t="s">
        <v>400</v>
      </c>
    </row>
    <row r="321" spans="25:26" s="2" customFormat="1" x14ac:dyDescent="0.4">
      <c r="Y321" s="2">
        <v>82</v>
      </c>
      <c r="Z321" s="2" t="s">
        <v>400</v>
      </c>
    </row>
    <row r="322" spans="25:26" s="2" customFormat="1" x14ac:dyDescent="0.4">
      <c r="Y322" s="2">
        <v>1</v>
      </c>
      <c r="Z322" s="2" t="s">
        <v>422</v>
      </c>
    </row>
    <row r="323" spans="25:26" s="2" customFormat="1" x14ac:dyDescent="0.4">
      <c r="Y323" s="2">
        <v>2</v>
      </c>
      <c r="Z323" s="2" t="s">
        <v>422</v>
      </c>
    </row>
    <row r="324" spans="25:26" s="2" customFormat="1" x14ac:dyDescent="0.4">
      <c r="Y324" s="2">
        <v>3</v>
      </c>
      <c r="Z324" s="2" t="s">
        <v>422</v>
      </c>
    </row>
    <row r="325" spans="25:26" s="2" customFormat="1" x14ac:dyDescent="0.4">
      <c r="Y325" s="2">
        <v>4</v>
      </c>
      <c r="Z325" s="2" t="s">
        <v>422</v>
      </c>
    </row>
    <row r="326" spans="25:26" s="2" customFormat="1" x14ac:dyDescent="0.4">
      <c r="Y326" s="2">
        <v>5</v>
      </c>
      <c r="Z326" s="2" t="s">
        <v>422</v>
      </c>
    </row>
    <row r="327" spans="25:26" s="2" customFormat="1" x14ac:dyDescent="0.4">
      <c r="Y327" s="2">
        <v>6</v>
      </c>
      <c r="Z327" s="2" t="s">
        <v>422</v>
      </c>
    </row>
    <row r="328" spans="25:26" s="2" customFormat="1" x14ac:dyDescent="0.4">
      <c r="Y328" s="2">
        <v>7</v>
      </c>
      <c r="Z328" s="2" t="s">
        <v>422</v>
      </c>
    </row>
    <row r="329" spans="25:26" s="2" customFormat="1" x14ac:dyDescent="0.4">
      <c r="Y329" s="2">
        <v>8</v>
      </c>
      <c r="Z329" s="2" t="s">
        <v>422</v>
      </c>
    </row>
    <row r="330" spans="25:26" s="2" customFormat="1" x14ac:dyDescent="0.4">
      <c r="Y330" s="2">
        <v>9</v>
      </c>
      <c r="Z330" s="2" t="s">
        <v>422</v>
      </c>
    </row>
    <row r="331" spans="25:26" s="2" customFormat="1" x14ac:dyDescent="0.4">
      <c r="Y331" s="2">
        <v>10</v>
      </c>
      <c r="Z331" s="2" t="s">
        <v>422</v>
      </c>
    </row>
    <row r="332" spans="25:26" s="2" customFormat="1" x14ac:dyDescent="0.4">
      <c r="Y332" s="2">
        <v>11</v>
      </c>
      <c r="Z332" s="2" t="s">
        <v>422</v>
      </c>
    </row>
    <row r="333" spans="25:26" s="2" customFormat="1" x14ac:dyDescent="0.4">
      <c r="Y333" s="2">
        <v>12</v>
      </c>
      <c r="Z333" s="2" t="s">
        <v>422</v>
      </c>
    </row>
    <row r="334" spans="25:26" s="2" customFormat="1" x14ac:dyDescent="0.4">
      <c r="Y334" s="2">
        <v>13</v>
      </c>
      <c r="Z334" s="2" t="s">
        <v>422</v>
      </c>
    </row>
    <row r="335" spans="25:26" s="2" customFormat="1" x14ac:dyDescent="0.4">
      <c r="Y335" s="2">
        <v>14</v>
      </c>
      <c r="Z335" s="2" t="s">
        <v>422</v>
      </c>
    </row>
    <row r="336" spans="25:26" s="2" customFormat="1" x14ac:dyDescent="0.4">
      <c r="Y336" s="2">
        <v>15</v>
      </c>
      <c r="Z336" s="2" t="s">
        <v>422</v>
      </c>
    </row>
    <row r="337" spans="25:26" s="2" customFormat="1" x14ac:dyDescent="0.4">
      <c r="Y337" s="2">
        <v>16</v>
      </c>
      <c r="Z337" s="2" t="s">
        <v>422</v>
      </c>
    </row>
    <row r="338" spans="25:26" s="2" customFormat="1" x14ac:dyDescent="0.4">
      <c r="Y338" s="2">
        <v>17</v>
      </c>
      <c r="Z338" s="2" t="s">
        <v>422</v>
      </c>
    </row>
    <row r="339" spans="25:26" s="2" customFormat="1" x14ac:dyDescent="0.4">
      <c r="Y339" s="2">
        <v>18</v>
      </c>
      <c r="Z339" s="2" t="s">
        <v>422</v>
      </c>
    </row>
    <row r="340" spans="25:26" s="2" customFormat="1" x14ac:dyDescent="0.4">
      <c r="Y340" s="2">
        <v>19</v>
      </c>
      <c r="Z340" s="2" t="s">
        <v>422</v>
      </c>
    </row>
    <row r="341" spans="25:26" s="2" customFormat="1" x14ac:dyDescent="0.4">
      <c r="Y341" s="2">
        <v>20</v>
      </c>
      <c r="Z341" s="2" t="s">
        <v>422</v>
      </c>
    </row>
    <row r="342" spans="25:26" s="2" customFormat="1" x14ac:dyDescent="0.4">
      <c r="Y342" s="2">
        <v>21</v>
      </c>
      <c r="Z342" s="2" t="s">
        <v>422</v>
      </c>
    </row>
    <row r="343" spans="25:26" s="2" customFormat="1" x14ac:dyDescent="0.4">
      <c r="Y343" s="2">
        <v>22</v>
      </c>
      <c r="Z343" s="2" t="s">
        <v>422</v>
      </c>
    </row>
    <row r="344" spans="25:26" s="2" customFormat="1" x14ac:dyDescent="0.4">
      <c r="Y344" s="2">
        <v>23</v>
      </c>
      <c r="Z344" s="2" t="s">
        <v>422</v>
      </c>
    </row>
    <row r="345" spans="25:26" s="2" customFormat="1" x14ac:dyDescent="0.4">
      <c r="Y345" s="2">
        <v>24</v>
      </c>
      <c r="Z345" s="2" t="s">
        <v>422</v>
      </c>
    </row>
    <row r="346" spans="25:26" s="2" customFormat="1" x14ac:dyDescent="0.4">
      <c r="Y346" s="2">
        <v>25</v>
      </c>
      <c r="Z346" s="2" t="s">
        <v>422</v>
      </c>
    </row>
    <row r="347" spans="25:26" s="2" customFormat="1" x14ac:dyDescent="0.4">
      <c r="Y347" s="2">
        <v>26</v>
      </c>
      <c r="Z347" s="2" t="s">
        <v>422</v>
      </c>
    </row>
    <row r="348" spans="25:26" s="2" customFormat="1" x14ac:dyDescent="0.4">
      <c r="Y348" s="2">
        <v>27</v>
      </c>
      <c r="Z348" s="2" t="s">
        <v>422</v>
      </c>
    </row>
    <row r="349" spans="25:26" s="2" customFormat="1" x14ac:dyDescent="0.4">
      <c r="Y349" s="2">
        <v>28</v>
      </c>
      <c r="Z349" s="2" t="s">
        <v>422</v>
      </c>
    </row>
    <row r="350" spans="25:26" s="2" customFormat="1" x14ac:dyDescent="0.4">
      <c r="Y350" s="2">
        <v>29</v>
      </c>
      <c r="Z350" s="2" t="s">
        <v>422</v>
      </c>
    </row>
    <row r="351" spans="25:26" s="2" customFormat="1" x14ac:dyDescent="0.4">
      <c r="Y351" s="2">
        <v>30</v>
      </c>
      <c r="Z351" s="2" t="s">
        <v>422</v>
      </c>
    </row>
    <row r="352" spans="25:26" s="2" customFormat="1" x14ac:dyDescent="0.4">
      <c r="Y352" s="2">
        <v>31</v>
      </c>
      <c r="Z352" s="2" t="s">
        <v>422</v>
      </c>
    </row>
    <row r="353" spans="25:26" s="2" customFormat="1" x14ac:dyDescent="0.4">
      <c r="Y353" s="2">
        <v>32</v>
      </c>
      <c r="Z353" s="2" t="s">
        <v>422</v>
      </c>
    </row>
    <row r="354" spans="25:26" s="2" customFormat="1" x14ac:dyDescent="0.4">
      <c r="Y354" s="2">
        <v>33</v>
      </c>
      <c r="Z354" s="2" t="s">
        <v>422</v>
      </c>
    </row>
    <row r="355" spans="25:26" s="2" customFormat="1" x14ac:dyDescent="0.4">
      <c r="Y355" s="2">
        <v>34</v>
      </c>
      <c r="Z355" s="2" t="s">
        <v>422</v>
      </c>
    </row>
    <row r="356" spans="25:26" s="2" customFormat="1" x14ac:dyDescent="0.4">
      <c r="Y356" s="2">
        <v>35</v>
      </c>
      <c r="Z356" s="2" t="s">
        <v>422</v>
      </c>
    </row>
    <row r="357" spans="25:26" s="2" customFormat="1" x14ac:dyDescent="0.4">
      <c r="Y357" s="2">
        <v>36</v>
      </c>
      <c r="Z357" s="2" t="s">
        <v>422</v>
      </c>
    </row>
    <row r="358" spans="25:26" s="2" customFormat="1" x14ac:dyDescent="0.4">
      <c r="Y358" s="2">
        <v>37</v>
      </c>
      <c r="Z358" s="2" t="s">
        <v>422</v>
      </c>
    </row>
    <row r="359" spans="25:26" s="2" customFormat="1" x14ac:dyDescent="0.4">
      <c r="Y359" s="2">
        <v>38</v>
      </c>
      <c r="Z359" s="2" t="s">
        <v>422</v>
      </c>
    </row>
    <row r="360" spans="25:26" s="2" customFormat="1" x14ac:dyDescent="0.4">
      <c r="Y360" s="2">
        <v>39</v>
      </c>
      <c r="Z360" s="2" t="s">
        <v>422</v>
      </c>
    </row>
    <row r="361" spans="25:26" s="2" customFormat="1" x14ac:dyDescent="0.4">
      <c r="Y361" s="2">
        <v>40</v>
      </c>
      <c r="Z361" s="2" t="s">
        <v>422</v>
      </c>
    </row>
    <row r="362" spans="25:26" s="2" customFormat="1" x14ac:dyDescent="0.4">
      <c r="Y362" s="2">
        <v>41</v>
      </c>
      <c r="Z362" s="2" t="s">
        <v>422</v>
      </c>
    </row>
    <row r="363" spans="25:26" s="2" customFormat="1" x14ac:dyDescent="0.4">
      <c r="Y363" s="2">
        <v>42</v>
      </c>
      <c r="Z363" s="2" t="s">
        <v>422</v>
      </c>
    </row>
    <row r="364" spans="25:26" s="2" customFormat="1" x14ac:dyDescent="0.4">
      <c r="Y364" s="2">
        <v>43</v>
      </c>
      <c r="Z364" s="2" t="s">
        <v>422</v>
      </c>
    </row>
    <row r="365" spans="25:26" s="2" customFormat="1" x14ac:dyDescent="0.4">
      <c r="Y365" s="2">
        <v>44</v>
      </c>
      <c r="Z365" s="2" t="s">
        <v>422</v>
      </c>
    </row>
    <row r="366" spans="25:26" s="2" customFormat="1" x14ac:dyDescent="0.4">
      <c r="Y366" s="2">
        <v>45</v>
      </c>
      <c r="Z366" s="2" t="s">
        <v>422</v>
      </c>
    </row>
    <row r="367" spans="25:26" s="2" customFormat="1" x14ac:dyDescent="0.4">
      <c r="Y367" s="2">
        <v>46</v>
      </c>
      <c r="Z367" s="2" t="s">
        <v>422</v>
      </c>
    </row>
    <row r="368" spans="25:26" s="2" customFormat="1" x14ac:dyDescent="0.4">
      <c r="Y368" s="2">
        <v>47</v>
      </c>
      <c r="Z368" s="2" t="s">
        <v>422</v>
      </c>
    </row>
    <row r="369" spans="25:26" s="2" customFormat="1" x14ac:dyDescent="0.4">
      <c r="Y369" s="2">
        <v>48</v>
      </c>
      <c r="Z369" s="2" t="s">
        <v>422</v>
      </c>
    </row>
    <row r="370" spans="25:26" s="2" customFormat="1" x14ac:dyDescent="0.4">
      <c r="Y370" s="2">
        <v>49</v>
      </c>
      <c r="Z370" s="2" t="s">
        <v>422</v>
      </c>
    </row>
    <row r="371" spans="25:26" s="2" customFormat="1" x14ac:dyDescent="0.4">
      <c r="Y371" s="2">
        <v>50</v>
      </c>
      <c r="Z371" s="2" t="s">
        <v>422</v>
      </c>
    </row>
    <row r="372" spans="25:26" s="2" customFormat="1" x14ac:dyDescent="0.4">
      <c r="Y372" s="2">
        <v>51</v>
      </c>
      <c r="Z372" s="2" t="s">
        <v>422</v>
      </c>
    </row>
    <row r="373" spans="25:26" s="2" customFormat="1" x14ac:dyDescent="0.4">
      <c r="Y373" s="2">
        <v>52</v>
      </c>
      <c r="Z373" s="2" t="s">
        <v>422</v>
      </c>
    </row>
    <row r="374" spans="25:26" s="2" customFormat="1" x14ac:dyDescent="0.4">
      <c r="Y374" s="2">
        <v>53</v>
      </c>
      <c r="Z374" s="2" t="s">
        <v>422</v>
      </c>
    </row>
    <row r="375" spans="25:26" s="2" customFormat="1" x14ac:dyDescent="0.4">
      <c r="Y375" s="2">
        <v>54</v>
      </c>
      <c r="Z375" s="2" t="s">
        <v>422</v>
      </c>
    </row>
    <row r="376" spans="25:26" s="2" customFormat="1" x14ac:dyDescent="0.4">
      <c r="Y376" s="2">
        <v>55</v>
      </c>
      <c r="Z376" s="2" t="s">
        <v>422</v>
      </c>
    </row>
    <row r="377" spans="25:26" s="2" customFormat="1" x14ac:dyDescent="0.4">
      <c r="Y377" s="2">
        <v>56</v>
      </c>
      <c r="Z377" s="2" t="s">
        <v>422</v>
      </c>
    </row>
    <row r="378" spans="25:26" s="2" customFormat="1" x14ac:dyDescent="0.4">
      <c r="Y378" s="2">
        <v>57</v>
      </c>
      <c r="Z378" s="2" t="s">
        <v>422</v>
      </c>
    </row>
    <row r="379" spans="25:26" s="2" customFormat="1" x14ac:dyDescent="0.4">
      <c r="Y379" s="2">
        <v>58</v>
      </c>
      <c r="Z379" s="2" t="s">
        <v>422</v>
      </c>
    </row>
    <row r="380" spans="25:26" s="2" customFormat="1" x14ac:dyDescent="0.4">
      <c r="Y380" s="2">
        <v>59</v>
      </c>
      <c r="Z380" s="2" t="s">
        <v>422</v>
      </c>
    </row>
    <row r="381" spans="25:26" s="2" customFormat="1" x14ac:dyDescent="0.4">
      <c r="Y381" s="2">
        <v>60</v>
      </c>
      <c r="Z381" s="2" t="s">
        <v>422</v>
      </c>
    </row>
    <row r="382" spans="25:26" s="2" customFormat="1" x14ac:dyDescent="0.4">
      <c r="Y382" s="2">
        <v>61</v>
      </c>
      <c r="Z382" s="2" t="s">
        <v>422</v>
      </c>
    </row>
    <row r="383" spans="25:26" s="2" customFormat="1" x14ac:dyDescent="0.4">
      <c r="Y383" s="2">
        <v>62</v>
      </c>
      <c r="Z383" s="2" t="s">
        <v>422</v>
      </c>
    </row>
    <row r="384" spans="25:26" s="2" customFormat="1" x14ac:dyDescent="0.4">
      <c r="Y384" s="2">
        <v>63</v>
      </c>
      <c r="Z384" s="2" t="s">
        <v>422</v>
      </c>
    </row>
    <row r="385" spans="25:26" s="2" customFormat="1" x14ac:dyDescent="0.4">
      <c r="Y385" s="2">
        <v>64</v>
      </c>
      <c r="Z385" s="2" t="s">
        <v>422</v>
      </c>
    </row>
    <row r="386" spans="25:26" s="2" customFormat="1" x14ac:dyDescent="0.4">
      <c r="Y386" s="2">
        <v>65</v>
      </c>
      <c r="Z386" s="2" t="s">
        <v>422</v>
      </c>
    </row>
    <row r="387" spans="25:26" s="2" customFormat="1" x14ac:dyDescent="0.4">
      <c r="Y387" s="2">
        <v>66</v>
      </c>
      <c r="Z387" s="2" t="s">
        <v>422</v>
      </c>
    </row>
    <row r="388" spans="25:26" s="2" customFormat="1" x14ac:dyDescent="0.4">
      <c r="Y388" s="2">
        <v>67</v>
      </c>
      <c r="Z388" s="2" t="s">
        <v>422</v>
      </c>
    </row>
    <row r="389" spans="25:26" s="2" customFormat="1" x14ac:dyDescent="0.4">
      <c r="Y389" s="2">
        <v>68</v>
      </c>
      <c r="Z389" s="2" t="s">
        <v>422</v>
      </c>
    </row>
    <row r="390" spans="25:26" s="2" customFormat="1" x14ac:dyDescent="0.4">
      <c r="Y390" s="2">
        <v>69</v>
      </c>
      <c r="Z390" s="2" t="s">
        <v>422</v>
      </c>
    </row>
    <row r="391" spans="25:26" s="2" customFormat="1" x14ac:dyDescent="0.4">
      <c r="Y391" s="2">
        <v>70</v>
      </c>
      <c r="Z391" s="2" t="s">
        <v>422</v>
      </c>
    </row>
    <row r="392" spans="25:26" s="2" customFormat="1" x14ac:dyDescent="0.4">
      <c r="Y392" s="2">
        <v>71</v>
      </c>
      <c r="Z392" s="2" t="s">
        <v>422</v>
      </c>
    </row>
    <row r="393" spans="25:26" s="2" customFormat="1" x14ac:dyDescent="0.4">
      <c r="Y393" s="2">
        <v>72</v>
      </c>
      <c r="Z393" s="2" t="s">
        <v>422</v>
      </c>
    </row>
    <row r="394" spans="25:26" s="2" customFormat="1" x14ac:dyDescent="0.4">
      <c r="Y394" s="2">
        <v>73</v>
      </c>
      <c r="Z394" s="2" t="s">
        <v>422</v>
      </c>
    </row>
    <row r="395" spans="25:26" s="2" customFormat="1" x14ac:dyDescent="0.4">
      <c r="Y395" s="2">
        <v>74</v>
      </c>
      <c r="Z395" s="2" t="s">
        <v>422</v>
      </c>
    </row>
    <row r="396" spans="25:26" s="2" customFormat="1" x14ac:dyDescent="0.4">
      <c r="Y396" s="2">
        <v>75</v>
      </c>
      <c r="Z396" s="2" t="s">
        <v>422</v>
      </c>
    </row>
    <row r="397" spans="25:26" s="2" customFormat="1" x14ac:dyDescent="0.4">
      <c r="Y397" s="2">
        <v>76</v>
      </c>
      <c r="Z397" s="2" t="s">
        <v>422</v>
      </c>
    </row>
    <row r="398" spans="25:26" s="2" customFormat="1" x14ac:dyDescent="0.4">
      <c r="Y398" s="2">
        <v>77</v>
      </c>
      <c r="Z398" s="2" t="s">
        <v>422</v>
      </c>
    </row>
    <row r="399" spans="25:26" s="2" customFormat="1" x14ac:dyDescent="0.4">
      <c r="Y399" s="2">
        <v>78</v>
      </c>
      <c r="Z399" s="2" t="s">
        <v>422</v>
      </c>
    </row>
    <row r="400" spans="25:26" s="2" customFormat="1" x14ac:dyDescent="0.4">
      <c r="Y400" s="2">
        <v>79</v>
      </c>
      <c r="Z400" s="2" t="s">
        <v>422</v>
      </c>
    </row>
    <row r="401" spans="25:26" s="2" customFormat="1" x14ac:dyDescent="0.4">
      <c r="Y401" s="2">
        <v>80</v>
      </c>
      <c r="Z401" s="2" t="s">
        <v>422</v>
      </c>
    </row>
    <row r="402" spans="25:26" s="2" customFormat="1" x14ac:dyDescent="0.4">
      <c r="Y402" s="2">
        <v>1</v>
      </c>
      <c r="Z402" s="2" t="s">
        <v>391</v>
      </c>
    </row>
    <row r="403" spans="25:26" s="2" customFormat="1" x14ac:dyDescent="0.4">
      <c r="Y403" s="2">
        <v>2</v>
      </c>
      <c r="Z403" s="2" t="s">
        <v>391</v>
      </c>
    </row>
    <row r="404" spans="25:26" s="2" customFormat="1" x14ac:dyDescent="0.4">
      <c r="Y404" s="2">
        <v>3</v>
      </c>
      <c r="Z404" s="2" t="s">
        <v>391</v>
      </c>
    </row>
  </sheetData>
  <sortState ref="E131:F138">
    <sortCondition ref="E131:E138"/>
  </sortState>
  <mergeCells count="7">
    <mergeCell ref="B124:C124"/>
    <mergeCell ref="E124:G124"/>
    <mergeCell ref="B1:L1"/>
    <mergeCell ref="B2:L2"/>
    <mergeCell ref="B67:L67"/>
    <mergeCell ref="D70:E70"/>
    <mergeCell ref="F70:G70"/>
  </mergeCells>
  <pageMargins left="0.7" right="0.7" top="0.75" bottom="0.75" header="0.3" footer="0.3"/>
  <pageSetup scale="53" orientation="landscape" r:id="rId1"/>
  <rowBreaks count="2" manualBreakCount="2">
    <brk id="47" max="11" man="1"/>
    <brk id="11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83"/>
  <sheetViews>
    <sheetView tabSelected="1" view="pageBreakPreview" zoomScaleSheetLayoutView="100" workbookViewId="0">
      <pane xSplit="17" ySplit="4" topLeftCell="W54" activePane="bottomRight" state="frozen"/>
      <selection pane="topRight" activeCell="R1" sqref="R1"/>
      <selection pane="bottomLeft" activeCell="A5" sqref="A5"/>
      <selection pane="bottomRight" activeCell="W58" sqref="W58"/>
    </sheetView>
  </sheetViews>
  <sheetFormatPr defaultColWidth="9.1328125" defaultRowHeight="13.15" x14ac:dyDescent="0.4"/>
  <cols>
    <col min="1" max="1" width="3.1328125" style="2" customWidth="1"/>
    <col min="2" max="2" width="66.73046875" style="2" customWidth="1"/>
    <col min="3" max="11" width="8.3984375" style="9" hidden="1" customWidth="1"/>
    <col min="12" max="14" width="10.265625" style="9" hidden="1" customWidth="1"/>
    <col min="15" max="16" width="11" style="9" hidden="1" customWidth="1"/>
    <col min="17" max="18" width="10.86328125" style="172" hidden="1" customWidth="1"/>
    <col min="19" max="19" width="11.3984375" style="172" hidden="1" customWidth="1"/>
    <col min="20" max="20" width="11.3984375" style="172" customWidth="1"/>
    <col min="21" max="21" width="11.73046875" style="172" customWidth="1"/>
    <col min="22" max="22" width="7" style="172" customWidth="1"/>
    <col min="23" max="23" width="9" style="172" customWidth="1"/>
    <col min="24" max="24" width="9" style="647" customWidth="1"/>
    <col min="25" max="25" width="62.3984375" style="2" customWidth="1"/>
    <col min="26" max="16384" width="9.1328125" style="2"/>
  </cols>
  <sheetData>
    <row r="1" spans="1:37" ht="15.75" x14ac:dyDescent="0.5">
      <c r="A1" s="1" t="s">
        <v>488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463</v>
      </c>
      <c r="S1" s="1"/>
      <c r="T1" s="1"/>
      <c r="U1" s="1"/>
      <c r="V1" s="1"/>
      <c r="W1" s="1"/>
      <c r="X1" s="630"/>
    </row>
    <row r="2" spans="1:37" s="4" customFormat="1" ht="9" customHeight="1" thickBot="1" x14ac:dyDescent="0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631"/>
    </row>
    <row r="3" spans="1:37" x14ac:dyDescent="0.4">
      <c r="A3" s="5"/>
      <c r="B3" s="6"/>
      <c r="C3" s="7" t="s">
        <v>0</v>
      </c>
      <c r="D3" s="7" t="s">
        <v>0</v>
      </c>
      <c r="E3" s="8"/>
      <c r="F3" s="8"/>
      <c r="G3" s="8"/>
      <c r="H3" s="8"/>
      <c r="I3" s="8"/>
      <c r="J3" s="8"/>
      <c r="K3" s="8"/>
      <c r="L3" s="8"/>
      <c r="N3" s="661" t="s">
        <v>1</v>
      </c>
      <c r="O3" s="662"/>
      <c r="P3" s="662"/>
      <c r="Q3" s="662"/>
      <c r="R3" s="662"/>
      <c r="S3" s="662"/>
      <c r="T3" s="662"/>
      <c r="U3" s="662"/>
      <c r="V3" s="662"/>
      <c r="W3" s="662"/>
      <c r="X3" s="662"/>
    </row>
    <row r="4" spans="1:37" ht="13.5" thickBot="1" x14ac:dyDescent="0.45">
      <c r="A4" s="10"/>
      <c r="B4" s="11"/>
      <c r="C4" s="12">
        <v>1996</v>
      </c>
      <c r="D4" s="13">
        <v>1997</v>
      </c>
      <c r="E4" s="13">
        <v>1998</v>
      </c>
      <c r="F4" s="13">
        <v>1999</v>
      </c>
      <c r="G4" s="13">
        <v>2000</v>
      </c>
      <c r="H4" s="13">
        <v>2001</v>
      </c>
      <c r="I4" s="13">
        <v>2002</v>
      </c>
      <c r="J4" s="13">
        <v>2003</v>
      </c>
      <c r="K4" s="14">
        <v>2004</v>
      </c>
      <c r="L4" s="14">
        <v>2005</v>
      </c>
      <c r="M4" s="15">
        <v>2006</v>
      </c>
      <c r="N4" s="16">
        <v>2007</v>
      </c>
      <c r="O4" s="16">
        <v>2008</v>
      </c>
      <c r="P4" s="16">
        <v>2009</v>
      </c>
      <c r="Q4" s="17">
        <v>2010</v>
      </c>
      <c r="R4" s="17">
        <v>2011</v>
      </c>
      <c r="S4" s="17">
        <v>2012</v>
      </c>
      <c r="T4" s="17">
        <v>2013</v>
      </c>
      <c r="U4" s="17">
        <f>T4+1</f>
        <v>2014</v>
      </c>
      <c r="V4" s="17">
        <f t="shared" ref="V4:X4" si="0">U4+1</f>
        <v>2015</v>
      </c>
      <c r="W4" s="17">
        <f t="shared" si="0"/>
        <v>2016</v>
      </c>
      <c r="X4" s="632">
        <f t="shared" si="0"/>
        <v>2017</v>
      </c>
      <c r="AB4" s="18"/>
      <c r="AC4" s="19"/>
      <c r="AD4" s="20"/>
      <c r="AE4" s="18"/>
      <c r="AF4" s="19"/>
      <c r="AG4" s="18"/>
      <c r="AH4" s="21"/>
      <c r="AI4" s="18"/>
      <c r="AJ4" s="18"/>
      <c r="AK4" s="18"/>
    </row>
    <row r="5" spans="1:37" ht="15" customHeight="1" x14ac:dyDescent="0.4">
      <c r="A5" s="22" t="s">
        <v>2</v>
      </c>
      <c r="B5" s="23"/>
      <c r="C5" s="24"/>
      <c r="D5" s="25"/>
      <c r="E5" s="25"/>
      <c r="F5" s="25"/>
      <c r="G5" s="25"/>
      <c r="H5" s="25"/>
      <c r="I5" s="25"/>
      <c r="J5" s="25"/>
      <c r="K5" s="26"/>
      <c r="L5" s="26"/>
      <c r="M5" s="27"/>
      <c r="N5" s="27"/>
      <c r="O5" s="27"/>
      <c r="P5" s="27"/>
      <c r="Q5" s="27"/>
      <c r="R5" s="27"/>
      <c r="S5" s="28"/>
      <c r="T5" s="28"/>
      <c r="U5" s="29"/>
      <c r="V5" s="20"/>
      <c r="W5" s="20"/>
      <c r="X5" s="633"/>
      <c r="AB5" s="20"/>
      <c r="AC5" s="30"/>
      <c r="AD5" s="30"/>
      <c r="AE5" s="20"/>
      <c r="AF5" s="30"/>
      <c r="AG5" s="31"/>
      <c r="AH5" s="32"/>
      <c r="AI5" s="18"/>
      <c r="AJ5" s="18"/>
      <c r="AK5" s="18"/>
    </row>
    <row r="6" spans="1:37" ht="15" customHeight="1" x14ac:dyDescent="0.4">
      <c r="A6" s="33"/>
      <c r="B6" s="34" t="s">
        <v>3</v>
      </c>
      <c r="C6" s="35"/>
      <c r="D6" s="36"/>
      <c r="E6" s="36"/>
      <c r="F6" s="36"/>
      <c r="G6" s="36"/>
      <c r="H6" s="36"/>
      <c r="I6" s="36"/>
      <c r="J6" s="36"/>
      <c r="K6" s="37"/>
      <c r="L6" s="37">
        <v>1597</v>
      </c>
      <c r="M6" s="38">
        <v>1704</v>
      </c>
      <c r="N6" s="38">
        <v>1809</v>
      </c>
      <c r="O6" s="38">
        <v>2128</v>
      </c>
      <c r="P6" s="38">
        <v>1957</v>
      </c>
      <c r="Q6" s="38">
        <v>1990</v>
      </c>
      <c r="R6" s="38">
        <v>1922</v>
      </c>
      <c r="S6" s="39">
        <v>2012</v>
      </c>
      <c r="T6" s="39">
        <v>2452</v>
      </c>
      <c r="U6" s="40">
        <v>2391</v>
      </c>
      <c r="V6" s="30"/>
      <c r="W6" s="30"/>
      <c r="X6" s="634"/>
      <c r="AB6" s="20"/>
      <c r="AC6" s="30"/>
      <c r="AD6" s="18"/>
      <c r="AE6" s="20"/>
      <c r="AF6" s="30"/>
      <c r="AG6" s="31"/>
      <c r="AH6" s="32"/>
      <c r="AI6" s="18"/>
      <c r="AJ6" s="18"/>
      <c r="AK6" s="18"/>
    </row>
    <row r="7" spans="1:37" ht="15" customHeight="1" x14ac:dyDescent="0.4">
      <c r="A7" s="33"/>
      <c r="B7" s="34" t="s">
        <v>4</v>
      </c>
      <c r="C7" s="35"/>
      <c r="D7" s="36"/>
      <c r="E7" s="36"/>
      <c r="F7" s="36"/>
      <c r="G7" s="36"/>
      <c r="H7" s="36"/>
      <c r="I7" s="36"/>
      <c r="J7" s="36"/>
      <c r="K7" s="37"/>
      <c r="L7" s="38">
        <v>3412</v>
      </c>
      <c r="M7" s="38">
        <v>5572</v>
      </c>
      <c r="N7" s="38">
        <v>5246</v>
      </c>
      <c r="O7" s="38">
        <v>5856</v>
      </c>
      <c r="P7" s="38">
        <v>5895</v>
      </c>
      <c r="Q7" s="38">
        <v>5409</v>
      </c>
      <c r="R7" s="38">
        <v>5333</v>
      </c>
      <c r="S7" s="39">
        <v>5146</v>
      </c>
      <c r="T7" s="39">
        <v>4900</v>
      </c>
      <c r="U7" s="40">
        <v>4743</v>
      </c>
      <c r="V7" s="30"/>
      <c r="W7" s="30"/>
      <c r="X7" s="634"/>
      <c r="Y7" s="2" t="s">
        <v>5</v>
      </c>
      <c r="AB7" s="20"/>
      <c r="AC7" s="30"/>
      <c r="AD7" s="18"/>
      <c r="AE7" s="20"/>
      <c r="AF7" s="30"/>
      <c r="AG7" s="31"/>
      <c r="AH7" s="32"/>
      <c r="AI7" s="18"/>
      <c r="AJ7" s="18"/>
      <c r="AK7" s="18"/>
    </row>
    <row r="8" spans="1:37" ht="15" customHeight="1" x14ac:dyDescent="0.4">
      <c r="A8" s="33"/>
      <c r="B8" s="34" t="s">
        <v>6</v>
      </c>
      <c r="C8" s="35"/>
      <c r="D8" s="36"/>
      <c r="E8" s="36"/>
      <c r="F8" s="36"/>
      <c r="G8" s="36"/>
      <c r="H8" s="36"/>
      <c r="I8" s="36"/>
      <c r="J8" s="36"/>
      <c r="K8" s="37"/>
      <c r="L8" s="38">
        <v>66</v>
      </c>
      <c r="M8" s="38">
        <v>35</v>
      </c>
      <c r="N8" s="38">
        <v>32</v>
      </c>
      <c r="O8" s="38">
        <v>27</v>
      </c>
      <c r="P8" s="38">
        <v>104</v>
      </c>
      <c r="Q8" s="38">
        <v>193</v>
      </c>
      <c r="R8" s="38">
        <v>354</v>
      </c>
      <c r="S8" s="39">
        <v>450</v>
      </c>
      <c r="T8" s="39">
        <v>423</v>
      </c>
      <c r="U8" s="40">
        <v>497</v>
      </c>
      <c r="V8" s="30"/>
      <c r="W8" s="30"/>
      <c r="X8" s="634"/>
      <c r="Y8" s="2" t="s">
        <v>7</v>
      </c>
      <c r="AB8" s="20"/>
      <c r="AC8" s="30"/>
      <c r="AD8" s="18"/>
      <c r="AE8" s="20"/>
      <c r="AF8" s="30"/>
      <c r="AG8" s="31"/>
      <c r="AH8" s="32"/>
      <c r="AI8" s="18"/>
      <c r="AJ8" s="18"/>
      <c r="AK8" s="18"/>
    </row>
    <row r="9" spans="1:37" ht="15" customHeight="1" x14ac:dyDescent="0.4">
      <c r="A9" s="33"/>
      <c r="B9" s="34" t="s">
        <v>487</v>
      </c>
      <c r="C9" s="35"/>
      <c r="D9" s="36"/>
      <c r="E9" s="36"/>
      <c r="F9" s="36"/>
      <c r="G9" s="36"/>
      <c r="H9" s="36"/>
      <c r="I9" s="36"/>
      <c r="J9" s="36"/>
      <c r="K9" s="37"/>
      <c r="L9" s="38"/>
      <c r="M9" s="38"/>
      <c r="N9" s="38">
        <f>1368-1167</f>
        <v>201</v>
      </c>
      <c r="O9" s="38">
        <v>228</v>
      </c>
      <c r="P9" s="38">
        <v>238</v>
      </c>
      <c r="Q9" s="38">
        <v>286</v>
      </c>
      <c r="R9" s="38">
        <v>276</v>
      </c>
      <c r="S9" s="39">
        <v>309</v>
      </c>
      <c r="T9" s="39">
        <v>336</v>
      </c>
      <c r="U9" s="40">
        <f>94+193+1+32+13+4</f>
        <v>337</v>
      </c>
      <c r="V9" s="30"/>
      <c r="W9" s="30"/>
      <c r="X9" s="634"/>
      <c r="Y9" s="2" t="s">
        <v>8</v>
      </c>
      <c r="AB9" s="18"/>
      <c r="AC9" s="18"/>
      <c r="AD9" s="18"/>
      <c r="AE9" s="18"/>
      <c r="AF9" s="18"/>
      <c r="AG9" s="18"/>
      <c r="AH9" s="32"/>
      <c r="AI9" s="18"/>
      <c r="AJ9" s="18"/>
      <c r="AK9" s="18"/>
    </row>
    <row r="10" spans="1:37" ht="15" customHeight="1" x14ac:dyDescent="0.4">
      <c r="A10" s="33"/>
      <c r="B10" s="34" t="s">
        <v>9</v>
      </c>
      <c r="C10" s="35"/>
      <c r="D10" s="36"/>
      <c r="E10" s="36"/>
      <c r="F10" s="36"/>
      <c r="G10" s="36"/>
      <c r="H10" s="36"/>
      <c r="I10" s="36"/>
      <c r="J10" s="36"/>
      <c r="K10" s="37"/>
      <c r="L10" s="38">
        <v>141</v>
      </c>
      <c r="M10" s="41"/>
      <c r="N10" s="38"/>
      <c r="O10" s="38"/>
      <c r="P10" s="38"/>
      <c r="Q10" s="38"/>
      <c r="R10" s="38"/>
      <c r="S10" s="39"/>
      <c r="T10" s="39"/>
      <c r="U10" s="40"/>
      <c r="V10" s="30"/>
      <c r="W10" s="30"/>
      <c r="X10" s="634"/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ht="15" customHeight="1" x14ac:dyDescent="0.4">
      <c r="A11" s="33"/>
      <c r="B11" s="34" t="s">
        <v>10</v>
      </c>
      <c r="C11" s="35"/>
      <c r="D11" s="36"/>
      <c r="E11" s="36"/>
      <c r="F11" s="36"/>
      <c r="G11" s="36"/>
      <c r="H11" s="36"/>
      <c r="I11" s="36"/>
      <c r="J11" s="36"/>
      <c r="K11" s="37"/>
      <c r="L11" s="38"/>
      <c r="M11" s="41"/>
      <c r="N11" s="38">
        <v>665</v>
      </c>
      <c r="O11" s="38">
        <v>687</v>
      </c>
      <c r="P11" s="38" t="s">
        <v>11</v>
      </c>
      <c r="Q11" s="38">
        <v>556</v>
      </c>
      <c r="R11" s="38">
        <v>539</v>
      </c>
      <c r="S11" s="39">
        <v>1196</v>
      </c>
      <c r="T11" s="39">
        <v>1402</v>
      </c>
      <c r="U11" s="40">
        <v>1276</v>
      </c>
      <c r="V11" s="30"/>
      <c r="W11" s="30"/>
      <c r="X11" s="634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7" ht="15" customHeight="1" x14ac:dyDescent="0.4">
      <c r="A12" s="33"/>
      <c r="B12" s="34" t="s">
        <v>12</v>
      </c>
      <c r="C12" s="35"/>
      <c r="D12" s="36"/>
      <c r="E12" s="36"/>
      <c r="F12" s="36"/>
      <c r="G12" s="36"/>
      <c r="H12" s="36"/>
      <c r="I12" s="36"/>
      <c r="J12" s="36"/>
      <c r="K12" s="37"/>
      <c r="L12" s="38"/>
      <c r="M12" s="41"/>
      <c r="N12" s="38">
        <v>529</v>
      </c>
      <c r="O12" s="38">
        <v>562</v>
      </c>
      <c r="P12" s="38" t="s">
        <v>11</v>
      </c>
      <c r="Q12" s="38">
        <v>483</v>
      </c>
      <c r="R12" s="38">
        <v>329</v>
      </c>
      <c r="S12" s="39">
        <v>527</v>
      </c>
      <c r="T12" s="39">
        <v>588</v>
      </c>
      <c r="U12" s="40">
        <v>525</v>
      </c>
      <c r="V12" s="30">
        <v>518</v>
      </c>
      <c r="W12" s="30">
        <f>463+90+3</f>
        <v>556</v>
      </c>
      <c r="X12" s="634">
        <v>562</v>
      </c>
      <c r="Y12" s="2" t="s">
        <v>464</v>
      </c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37" ht="15" customHeight="1" x14ac:dyDescent="0.4">
      <c r="A13" s="33"/>
      <c r="B13" s="42" t="s">
        <v>13</v>
      </c>
      <c r="C13" s="43"/>
      <c r="D13" s="44"/>
      <c r="E13" s="44"/>
      <c r="F13" s="44"/>
      <c r="G13" s="44"/>
      <c r="H13" s="44"/>
      <c r="I13" s="44"/>
      <c r="J13" s="44"/>
      <c r="K13" s="45"/>
      <c r="L13" s="46"/>
      <c r="M13" s="47"/>
      <c r="N13" s="46">
        <v>156</v>
      </c>
      <c r="O13" s="46">
        <v>209</v>
      </c>
      <c r="P13" s="46" t="s">
        <v>11</v>
      </c>
      <c r="Q13" s="46">
        <v>169</v>
      </c>
      <c r="R13" s="46">
        <v>72</v>
      </c>
      <c r="S13" s="48">
        <v>151</v>
      </c>
      <c r="T13" s="48">
        <v>147</v>
      </c>
      <c r="U13" s="49">
        <v>151</v>
      </c>
      <c r="V13" s="30">
        <v>117</v>
      </c>
      <c r="W13" s="30">
        <v>147</v>
      </c>
      <c r="X13" s="634">
        <v>142</v>
      </c>
      <c r="Y13" s="2" t="s">
        <v>465</v>
      </c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ht="6.75" customHeight="1" thickBot="1" x14ac:dyDescent="0.45">
      <c r="A14" s="33"/>
      <c r="B14" s="50"/>
      <c r="C14" s="51"/>
      <c r="D14" s="52"/>
      <c r="E14" s="52"/>
      <c r="F14" s="52"/>
      <c r="G14" s="52"/>
      <c r="H14" s="52"/>
      <c r="I14" s="52"/>
      <c r="J14" s="52"/>
      <c r="K14" s="53"/>
      <c r="L14" s="54"/>
      <c r="M14" s="54"/>
      <c r="N14" s="54"/>
      <c r="O14" s="54"/>
      <c r="P14" s="54"/>
      <c r="Q14" s="54"/>
      <c r="R14" s="54"/>
      <c r="S14" s="55"/>
      <c r="T14" s="55"/>
      <c r="U14" s="56"/>
      <c r="V14" s="612"/>
      <c r="W14" s="612"/>
      <c r="X14" s="635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ht="15" customHeight="1" x14ac:dyDescent="0.4">
      <c r="A15" s="22" t="s">
        <v>14</v>
      </c>
      <c r="B15" s="23"/>
      <c r="C15" s="24"/>
      <c r="D15" s="25"/>
      <c r="E15" s="25"/>
      <c r="F15" s="25"/>
      <c r="G15" s="25"/>
      <c r="H15" s="25"/>
      <c r="I15" s="25"/>
      <c r="J15" s="25"/>
      <c r="K15" s="26"/>
      <c r="L15" s="27"/>
      <c r="M15" s="27"/>
      <c r="N15" s="27"/>
      <c r="O15" s="27"/>
      <c r="P15" s="27"/>
      <c r="Q15" s="27"/>
      <c r="R15" s="27"/>
      <c r="S15" s="28"/>
      <c r="T15" s="28"/>
      <c r="U15" s="29"/>
      <c r="V15" s="20"/>
      <c r="W15" s="20"/>
      <c r="X15" s="633"/>
      <c r="AB15" s="18"/>
      <c r="AC15" s="19"/>
      <c r="AD15" s="18"/>
      <c r="AE15" s="18"/>
      <c r="AF15" s="19"/>
      <c r="AG15" s="18"/>
      <c r="AH15" s="18"/>
      <c r="AI15" s="18"/>
      <c r="AJ15" s="18"/>
      <c r="AK15" s="18"/>
    </row>
    <row r="16" spans="1:37" ht="15" customHeight="1" x14ac:dyDescent="0.4">
      <c r="A16" s="22"/>
      <c r="B16" s="23" t="s">
        <v>15</v>
      </c>
      <c r="C16" s="57"/>
      <c r="D16" s="58"/>
      <c r="E16" s="58"/>
      <c r="F16" s="58"/>
      <c r="G16" s="58"/>
      <c r="H16" s="58"/>
      <c r="I16" s="58"/>
      <c r="J16" s="58"/>
      <c r="K16" s="59"/>
      <c r="L16" s="27"/>
      <c r="M16" s="27"/>
      <c r="N16" s="27">
        <v>21195</v>
      </c>
      <c r="O16" s="27">
        <v>15858</v>
      </c>
      <c r="P16" s="27">
        <v>15001</v>
      </c>
      <c r="Q16" s="27">
        <v>16691</v>
      </c>
      <c r="R16" s="27">
        <v>37813</v>
      </c>
      <c r="S16" s="60">
        <v>21388</v>
      </c>
      <c r="T16" s="60">
        <v>28332</v>
      </c>
      <c r="U16" s="556">
        <v>21995</v>
      </c>
      <c r="V16" s="613"/>
      <c r="W16" s="613"/>
      <c r="X16" s="636"/>
      <c r="AB16" s="18"/>
      <c r="AC16" s="19"/>
      <c r="AD16" s="18"/>
      <c r="AE16" s="18"/>
      <c r="AF16" s="19"/>
      <c r="AG16" s="18"/>
      <c r="AH16" s="18"/>
      <c r="AI16" s="18"/>
      <c r="AJ16" s="18"/>
      <c r="AK16" s="18"/>
    </row>
    <row r="17" spans="1:37" ht="15" customHeight="1" x14ac:dyDescent="0.4">
      <c r="A17" s="33"/>
      <c r="B17" s="34" t="s">
        <v>16</v>
      </c>
      <c r="C17" s="35">
        <v>1151</v>
      </c>
      <c r="D17" s="36">
        <v>1236</v>
      </c>
      <c r="E17" s="36">
        <v>1257</v>
      </c>
      <c r="F17" s="36">
        <v>1249</v>
      </c>
      <c r="G17" s="36">
        <v>1253</v>
      </c>
      <c r="H17" s="36">
        <v>1458</v>
      </c>
      <c r="I17" s="36">
        <v>1413</v>
      </c>
      <c r="J17" s="36">
        <v>1650</v>
      </c>
      <c r="K17" s="37">
        <v>1844</v>
      </c>
      <c r="L17" s="38">
        <v>1829</v>
      </c>
      <c r="M17" s="38">
        <v>1887</v>
      </c>
      <c r="N17" s="38">
        <v>2036</v>
      </c>
      <c r="O17" s="38">
        <v>2416</v>
      </c>
      <c r="P17" s="38">
        <v>2038</v>
      </c>
      <c r="Q17" s="38">
        <v>2314</v>
      </c>
      <c r="R17" s="38">
        <v>2238</v>
      </c>
      <c r="S17" s="39">
        <v>2506</v>
      </c>
      <c r="T17" s="39">
        <v>2663</v>
      </c>
      <c r="U17" s="40">
        <v>2281</v>
      </c>
      <c r="V17" s="30">
        <v>2701</v>
      </c>
      <c r="W17" s="30">
        <v>2481</v>
      </c>
      <c r="X17" s="634">
        <v>2378</v>
      </c>
      <c r="AB17" s="20"/>
      <c r="AC17" s="18"/>
      <c r="AD17" s="18"/>
      <c r="AE17" s="20"/>
      <c r="AF17" s="18"/>
      <c r="AG17" s="18"/>
      <c r="AH17" s="18"/>
      <c r="AI17" s="18"/>
      <c r="AJ17" s="18"/>
      <c r="AK17" s="18"/>
    </row>
    <row r="18" spans="1:37" ht="15" customHeight="1" x14ac:dyDescent="0.4">
      <c r="A18" s="33"/>
      <c r="B18" s="34" t="s">
        <v>17</v>
      </c>
      <c r="C18" s="35">
        <v>975</v>
      </c>
      <c r="D18" s="36">
        <v>1049</v>
      </c>
      <c r="E18" s="36">
        <v>1038</v>
      </c>
      <c r="F18" s="36">
        <v>1067</v>
      </c>
      <c r="G18" s="36">
        <v>1020</v>
      </c>
      <c r="H18" s="36">
        <v>1150</v>
      </c>
      <c r="I18" s="36">
        <v>1110</v>
      </c>
      <c r="J18" s="36">
        <v>1219</v>
      </c>
      <c r="K18" s="37">
        <v>1348</v>
      </c>
      <c r="L18" s="37">
        <v>1219</v>
      </c>
      <c r="M18" s="38">
        <v>1216</v>
      </c>
      <c r="N18" s="38">
        <v>1368</v>
      </c>
      <c r="O18" s="38">
        <v>1660</v>
      </c>
      <c r="P18" s="38">
        <v>1446</v>
      </c>
      <c r="Q18" s="38">
        <v>1644</v>
      </c>
      <c r="R18" s="38">
        <v>1574</v>
      </c>
      <c r="S18" s="39">
        <v>1649</v>
      </c>
      <c r="T18" s="39">
        <v>1705</v>
      </c>
      <c r="U18" s="40">
        <v>1677</v>
      </c>
      <c r="V18" s="30">
        <v>2060</v>
      </c>
      <c r="W18" s="30">
        <v>1843</v>
      </c>
      <c r="X18" s="634">
        <v>1664</v>
      </c>
      <c r="AB18" s="20"/>
      <c r="AC18" s="18"/>
      <c r="AD18" s="18"/>
      <c r="AE18" s="20"/>
      <c r="AF18" s="18"/>
      <c r="AG18" s="18"/>
      <c r="AH18" s="18"/>
      <c r="AI18" s="18"/>
      <c r="AJ18" s="18"/>
      <c r="AK18" s="18"/>
    </row>
    <row r="19" spans="1:37" ht="15" customHeight="1" x14ac:dyDescent="0.4">
      <c r="A19" s="33"/>
      <c r="B19" s="34" t="s">
        <v>18</v>
      </c>
      <c r="C19" s="61">
        <f t="shared" ref="C19:Q19" si="1">C18/C17</f>
        <v>0.84708948740225887</v>
      </c>
      <c r="D19" s="62">
        <f t="shared" si="1"/>
        <v>0.84870550161812297</v>
      </c>
      <c r="E19" s="62">
        <f t="shared" si="1"/>
        <v>0.82577565632458239</v>
      </c>
      <c r="F19" s="62">
        <f t="shared" si="1"/>
        <v>0.85428342674139313</v>
      </c>
      <c r="G19" s="62">
        <f t="shared" si="1"/>
        <v>0.81404628890662412</v>
      </c>
      <c r="H19" s="62">
        <f t="shared" si="1"/>
        <v>0.7887517146776406</v>
      </c>
      <c r="I19" s="62">
        <f t="shared" si="1"/>
        <v>0.78556263269639071</v>
      </c>
      <c r="J19" s="62">
        <f t="shared" si="1"/>
        <v>0.73878787878787877</v>
      </c>
      <c r="K19" s="63">
        <f t="shared" si="1"/>
        <v>0.73101952277657267</v>
      </c>
      <c r="L19" s="64">
        <f t="shared" si="1"/>
        <v>0.6664844177145981</v>
      </c>
      <c r="M19" s="64">
        <f t="shared" si="1"/>
        <v>0.64440911499735032</v>
      </c>
      <c r="N19" s="64">
        <f t="shared" si="1"/>
        <v>0.67190569744597251</v>
      </c>
      <c r="O19" s="64">
        <f t="shared" si="1"/>
        <v>0.6870860927152318</v>
      </c>
      <c r="P19" s="64">
        <f t="shared" si="1"/>
        <v>0.70951913640824338</v>
      </c>
      <c r="Q19" s="64">
        <f t="shared" si="1"/>
        <v>0.71045808124459808</v>
      </c>
      <c r="R19" s="64">
        <f t="shared" ref="R19:W19" si="2">R18/R17</f>
        <v>0.70330652368185875</v>
      </c>
      <c r="S19" s="65">
        <f t="shared" si="2"/>
        <v>0.65802075019952111</v>
      </c>
      <c r="T19" s="65">
        <f t="shared" si="2"/>
        <v>0.64025535110777321</v>
      </c>
      <c r="U19" s="66">
        <f t="shared" si="2"/>
        <v>0.73520385795703636</v>
      </c>
      <c r="V19" s="614">
        <f t="shared" si="2"/>
        <v>0.76268048870788596</v>
      </c>
      <c r="W19" s="614">
        <f t="shared" si="2"/>
        <v>0.74284562676340182</v>
      </c>
      <c r="X19" s="637">
        <f>X18/X17</f>
        <v>0.69974768713204372</v>
      </c>
      <c r="AB19" s="20"/>
      <c r="AC19" s="18"/>
      <c r="AD19" s="18"/>
      <c r="AE19" s="20"/>
      <c r="AF19" s="18"/>
      <c r="AG19" s="18"/>
      <c r="AH19" s="18"/>
      <c r="AI19" s="18"/>
      <c r="AJ19" s="18"/>
      <c r="AK19" s="18"/>
    </row>
    <row r="20" spans="1:37" ht="15" customHeight="1" x14ac:dyDescent="0.4">
      <c r="A20" s="33"/>
      <c r="B20" s="34" t="s">
        <v>19</v>
      </c>
      <c r="C20" s="67">
        <v>382</v>
      </c>
      <c r="D20" s="68">
        <v>366</v>
      </c>
      <c r="E20" s="68">
        <v>364</v>
      </c>
      <c r="F20" s="68">
        <v>351</v>
      </c>
      <c r="G20" s="68">
        <v>380</v>
      </c>
      <c r="H20" s="68">
        <v>365</v>
      </c>
      <c r="I20" s="68">
        <v>401</v>
      </c>
      <c r="J20" s="68">
        <v>407</v>
      </c>
      <c r="K20" s="69">
        <v>423</v>
      </c>
      <c r="L20" s="69">
        <v>411</v>
      </c>
      <c r="M20" s="70">
        <v>395</v>
      </c>
      <c r="N20" s="70">
        <v>407</v>
      </c>
      <c r="O20" s="70">
        <v>473</v>
      </c>
      <c r="P20" s="70">
        <v>386</v>
      </c>
      <c r="Q20" s="70">
        <v>442</v>
      </c>
      <c r="R20" s="70">
        <v>386</v>
      </c>
      <c r="S20" s="71">
        <v>426</v>
      </c>
      <c r="T20" s="71">
        <v>412</v>
      </c>
      <c r="U20" s="72">
        <v>446</v>
      </c>
      <c r="V20" s="80">
        <v>377</v>
      </c>
      <c r="W20" s="80">
        <v>420</v>
      </c>
      <c r="X20" s="557">
        <v>366</v>
      </c>
      <c r="AB20" s="20"/>
      <c r="AC20" s="18"/>
      <c r="AD20" s="18"/>
      <c r="AE20" s="20"/>
      <c r="AF20" s="18"/>
      <c r="AG20" s="18"/>
      <c r="AH20" s="18"/>
      <c r="AI20" s="18"/>
      <c r="AJ20" s="18"/>
      <c r="AK20" s="18"/>
    </row>
    <row r="21" spans="1:37" ht="15" customHeight="1" x14ac:dyDescent="0.4">
      <c r="A21" s="33"/>
      <c r="B21" s="73" t="s">
        <v>20</v>
      </c>
      <c r="C21" s="61">
        <f t="shared" ref="C21:P21" si="3">C20/C18</f>
        <v>0.39179487179487177</v>
      </c>
      <c r="D21" s="62">
        <f t="shared" si="3"/>
        <v>0.34890371782650142</v>
      </c>
      <c r="E21" s="62">
        <f t="shared" si="3"/>
        <v>0.35067437379576105</v>
      </c>
      <c r="F21" s="62">
        <f t="shared" si="3"/>
        <v>0.32895970009372072</v>
      </c>
      <c r="G21" s="62">
        <f t="shared" si="3"/>
        <v>0.37254901960784315</v>
      </c>
      <c r="H21" s="62">
        <f t="shared" si="3"/>
        <v>0.31739130434782609</v>
      </c>
      <c r="I21" s="62">
        <f t="shared" si="3"/>
        <v>0.36126126126126124</v>
      </c>
      <c r="J21" s="62">
        <f t="shared" si="3"/>
        <v>0.33388022969647252</v>
      </c>
      <c r="K21" s="63">
        <f t="shared" si="3"/>
        <v>0.31379821958456972</v>
      </c>
      <c r="L21" s="64">
        <f t="shared" si="3"/>
        <v>0.33716160787530763</v>
      </c>
      <c r="M21" s="64">
        <f t="shared" si="3"/>
        <v>0.32483552631578949</v>
      </c>
      <c r="N21" s="64">
        <f t="shared" si="3"/>
        <v>0.29751461988304095</v>
      </c>
      <c r="O21" s="64">
        <f t="shared" si="3"/>
        <v>0.2849397590361446</v>
      </c>
      <c r="P21" s="64">
        <f t="shared" si="3"/>
        <v>0.2669432918395574</v>
      </c>
      <c r="Q21" s="64">
        <f t="shared" ref="Q21:W21" si="4">Q20/Q18</f>
        <v>0.26885644768856448</v>
      </c>
      <c r="R21" s="64">
        <f t="shared" si="4"/>
        <v>0.24523506988564167</v>
      </c>
      <c r="S21" s="65">
        <f t="shared" si="4"/>
        <v>0.25833838690115224</v>
      </c>
      <c r="T21" s="65">
        <f t="shared" si="4"/>
        <v>0.24164222873900293</v>
      </c>
      <c r="U21" s="66">
        <f t="shared" si="4"/>
        <v>0.26595110316040549</v>
      </c>
      <c r="V21" s="614">
        <f t="shared" si="4"/>
        <v>0.18300970873786407</v>
      </c>
      <c r="W21" s="614">
        <f t="shared" si="4"/>
        <v>0.22788931090613132</v>
      </c>
      <c r="X21" s="637">
        <f>X20/X18</f>
        <v>0.21995192307692307</v>
      </c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ht="15" customHeight="1" x14ac:dyDescent="0.4">
      <c r="A22" s="33"/>
      <c r="B22" s="34" t="s">
        <v>21</v>
      </c>
      <c r="C22" s="67"/>
      <c r="D22" s="68"/>
      <c r="E22" s="68"/>
      <c r="F22" s="68"/>
      <c r="G22" s="74">
        <v>362</v>
      </c>
      <c r="H22" s="74">
        <v>341</v>
      </c>
      <c r="I22" s="74">
        <v>375</v>
      </c>
      <c r="J22" s="74">
        <v>381</v>
      </c>
      <c r="K22" s="75">
        <v>390</v>
      </c>
      <c r="L22" s="75">
        <v>388</v>
      </c>
      <c r="M22" s="76">
        <v>364</v>
      </c>
      <c r="N22" s="70">
        <v>377</v>
      </c>
      <c r="O22" s="70">
        <v>461</v>
      </c>
      <c r="P22" s="70">
        <v>366</v>
      </c>
      <c r="Q22" s="70">
        <v>421</v>
      </c>
      <c r="R22" s="70">
        <v>363</v>
      </c>
      <c r="S22" s="71">
        <v>402</v>
      </c>
      <c r="T22" s="71">
        <v>391</v>
      </c>
      <c r="U22" s="72">
        <v>423</v>
      </c>
      <c r="V22" s="80">
        <v>355</v>
      </c>
      <c r="W22" s="80">
        <v>394</v>
      </c>
      <c r="X22" s="557">
        <v>341</v>
      </c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ht="15" customHeight="1" x14ac:dyDescent="0.4">
      <c r="A23" s="33"/>
      <c r="B23" s="34" t="s">
        <v>22</v>
      </c>
      <c r="C23" s="67">
        <v>27</v>
      </c>
      <c r="D23" s="68">
        <v>24</v>
      </c>
      <c r="E23" s="68">
        <v>24</v>
      </c>
      <c r="F23" s="68">
        <v>23</v>
      </c>
      <c r="G23" s="74">
        <v>18</v>
      </c>
      <c r="H23" s="74">
        <v>23</v>
      </c>
      <c r="I23" s="74">
        <v>26</v>
      </c>
      <c r="J23" s="74">
        <v>26</v>
      </c>
      <c r="K23" s="75">
        <v>33</v>
      </c>
      <c r="L23" s="75">
        <v>23</v>
      </c>
      <c r="M23" s="76">
        <v>31</v>
      </c>
      <c r="N23" s="70">
        <v>31</v>
      </c>
      <c r="O23" s="70">
        <v>12</v>
      </c>
      <c r="P23" s="70">
        <v>20</v>
      </c>
      <c r="Q23" s="70">
        <v>21</v>
      </c>
      <c r="R23" s="70">
        <v>23</v>
      </c>
      <c r="S23" s="71">
        <v>24</v>
      </c>
      <c r="T23" s="71">
        <f>T20-T22</f>
        <v>21</v>
      </c>
      <c r="U23" s="72">
        <v>23</v>
      </c>
      <c r="V23" s="80">
        <v>22</v>
      </c>
      <c r="W23" s="80">
        <v>26</v>
      </c>
      <c r="X23" s="557">
        <v>25</v>
      </c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ht="6" customHeight="1" x14ac:dyDescent="0.4">
      <c r="A24" s="33"/>
      <c r="B24" s="23"/>
      <c r="C24" s="57"/>
      <c r="D24" s="58"/>
      <c r="E24" s="58"/>
      <c r="F24" s="58"/>
      <c r="G24" s="58"/>
      <c r="H24" s="58"/>
      <c r="I24" s="58"/>
      <c r="J24" s="58"/>
      <c r="K24" s="59"/>
      <c r="L24" s="59"/>
      <c r="M24" s="27"/>
      <c r="N24" s="27"/>
      <c r="O24" s="27"/>
      <c r="P24" s="27"/>
      <c r="Q24" s="27"/>
      <c r="R24" s="27"/>
      <c r="S24" s="28"/>
      <c r="T24" s="28"/>
      <c r="U24" s="29"/>
      <c r="V24" s="20"/>
      <c r="W24" s="20"/>
      <c r="X24" s="633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ht="15" customHeight="1" x14ac:dyDescent="0.4">
      <c r="A25" s="22" t="s">
        <v>23</v>
      </c>
      <c r="B25" s="23"/>
      <c r="C25" s="57"/>
      <c r="D25" s="58"/>
      <c r="E25" s="58"/>
      <c r="F25" s="58"/>
      <c r="G25" s="58"/>
      <c r="H25" s="58"/>
      <c r="I25" s="58"/>
      <c r="J25" s="58"/>
      <c r="K25" s="59"/>
      <c r="L25" s="59"/>
      <c r="M25" s="27"/>
      <c r="N25" s="27"/>
      <c r="O25" s="27"/>
      <c r="P25" s="27"/>
      <c r="Q25" s="27"/>
      <c r="R25" s="27"/>
      <c r="S25" s="28"/>
      <c r="T25" s="28"/>
      <c r="U25" s="29"/>
      <c r="V25" s="20"/>
      <c r="W25" s="20"/>
      <c r="X25" s="633"/>
      <c r="AB25" s="18"/>
      <c r="AC25" s="19"/>
      <c r="AD25" s="18"/>
      <c r="AE25" s="18"/>
      <c r="AF25" s="19"/>
      <c r="AG25" s="18"/>
      <c r="AH25" s="18"/>
      <c r="AI25" s="18"/>
      <c r="AJ25" s="18"/>
      <c r="AK25" s="18"/>
    </row>
    <row r="26" spans="1:37" ht="15" customHeight="1" x14ac:dyDescent="0.4">
      <c r="A26" s="33"/>
      <c r="B26" s="34" t="s">
        <v>24</v>
      </c>
      <c r="C26" s="67">
        <v>1132</v>
      </c>
      <c r="D26" s="77">
        <v>1164</v>
      </c>
      <c r="E26" s="77">
        <v>1154</v>
      </c>
      <c r="F26" s="77">
        <v>1143</v>
      </c>
      <c r="G26" s="77">
        <v>1150</v>
      </c>
      <c r="H26" s="77">
        <v>1160</v>
      </c>
      <c r="I26" s="77">
        <v>1158</v>
      </c>
      <c r="J26" s="77">
        <v>1168</v>
      </c>
      <c r="K26" s="78">
        <v>1161</v>
      </c>
      <c r="L26" s="78">
        <v>1177</v>
      </c>
      <c r="M26" s="79">
        <v>1167</v>
      </c>
      <c r="N26" s="79">
        <v>1164</v>
      </c>
      <c r="O26" s="79">
        <v>1181</v>
      </c>
      <c r="P26" s="79">
        <v>1198</v>
      </c>
      <c r="Q26" s="79">
        <v>1183</v>
      </c>
      <c r="R26" s="79">
        <v>1186</v>
      </c>
      <c r="S26" s="71">
        <v>1181</v>
      </c>
      <c r="T26" s="71">
        <v>1156</v>
      </c>
      <c r="U26" s="72">
        <v>1150</v>
      </c>
      <c r="V26" s="80">
        <v>1130</v>
      </c>
      <c r="W26" s="80">
        <v>1142</v>
      </c>
      <c r="X26" s="557">
        <v>1216</v>
      </c>
      <c r="AB26" s="20"/>
      <c r="AC26" s="80"/>
      <c r="AD26" s="18"/>
      <c r="AE26" s="20"/>
      <c r="AF26" s="80"/>
      <c r="AG26" s="18"/>
      <c r="AH26" s="18"/>
      <c r="AI26" s="18"/>
      <c r="AJ26" s="18"/>
      <c r="AK26" s="18"/>
    </row>
    <row r="27" spans="1:37" ht="15" customHeight="1" x14ac:dyDescent="0.4">
      <c r="A27" s="33"/>
      <c r="B27" s="34" t="s">
        <v>25</v>
      </c>
      <c r="C27" s="67">
        <v>3.56</v>
      </c>
      <c r="D27" s="77">
        <v>3.59</v>
      </c>
      <c r="E27" s="77">
        <v>3.65</v>
      </c>
      <c r="F27" s="77">
        <v>3.63</v>
      </c>
      <c r="G27" s="77">
        <v>3.72</v>
      </c>
      <c r="H27" s="81">
        <v>3.7</v>
      </c>
      <c r="I27" s="81">
        <v>3.74</v>
      </c>
      <c r="J27" s="81">
        <v>3.71</v>
      </c>
      <c r="K27" s="82">
        <v>3.76</v>
      </c>
      <c r="L27" s="82">
        <v>3.81</v>
      </c>
      <c r="M27" s="83">
        <v>3.82</v>
      </c>
      <c r="N27" s="83">
        <v>3.78</v>
      </c>
      <c r="O27" s="83">
        <v>3.75</v>
      </c>
      <c r="P27" s="83">
        <v>3.75</v>
      </c>
      <c r="Q27" s="83">
        <v>3.75</v>
      </c>
      <c r="R27" s="83">
        <v>3.75</v>
      </c>
      <c r="S27" s="84">
        <v>3.81</v>
      </c>
      <c r="T27" s="84">
        <v>3.75</v>
      </c>
      <c r="U27" s="85">
        <v>3.72</v>
      </c>
      <c r="V27" s="615">
        <v>3.71</v>
      </c>
      <c r="W27" s="615">
        <v>3.69</v>
      </c>
      <c r="X27" s="638">
        <v>3.76</v>
      </c>
      <c r="AB27" s="20"/>
      <c r="AC27" s="80"/>
      <c r="AD27" s="18"/>
      <c r="AE27" s="20"/>
      <c r="AF27" s="80"/>
      <c r="AG27" s="18"/>
      <c r="AH27" s="18"/>
      <c r="AI27" s="18"/>
      <c r="AJ27" s="18"/>
      <c r="AK27" s="18"/>
    </row>
    <row r="28" spans="1:37" s="94" customFormat="1" ht="15" customHeight="1" x14ac:dyDescent="0.4">
      <c r="A28" s="86"/>
      <c r="B28" s="87" t="s">
        <v>26</v>
      </c>
      <c r="C28" s="88">
        <v>0.33</v>
      </c>
      <c r="D28" s="89">
        <v>0.36</v>
      </c>
      <c r="E28" s="89">
        <v>0.39</v>
      </c>
      <c r="F28" s="89">
        <v>0.37</v>
      </c>
      <c r="G28" s="89">
        <v>0.42</v>
      </c>
      <c r="H28" s="89">
        <v>0.39</v>
      </c>
      <c r="I28" s="89">
        <v>0.36</v>
      </c>
      <c r="J28" s="89">
        <v>0.35</v>
      </c>
      <c r="K28" s="90">
        <v>0.37</v>
      </c>
      <c r="L28" s="90">
        <v>0.43</v>
      </c>
      <c r="M28" s="91">
        <v>0.36</v>
      </c>
      <c r="N28" s="91">
        <v>0.36</v>
      </c>
      <c r="O28" s="91">
        <v>0.44</v>
      </c>
      <c r="P28" s="91">
        <v>0.41</v>
      </c>
      <c r="Q28" s="91">
        <v>0.38</v>
      </c>
      <c r="R28" s="91">
        <v>0.4</v>
      </c>
      <c r="S28" s="92">
        <v>0.42</v>
      </c>
      <c r="T28" s="92">
        <v>0.32</v>
      </c>
      <c r="U28" s="93">
        <v>0.33</v>
      </c>
      <c r="V28" s="616">
        <v>0.29499999999999998</v>
      </c>
      <c r="W28" s="616">
        <v>0.39</v>
      </c>
      <c r="X28" s="639"/>
      <c r="AB28" s="20"/>
      <c r="AC28" s="80"/>
      <c r="AD28" s="95"/>
      <c r="AE28" s="20"/>
      <c r="AF28" s="80"/>
      <c r="AG28" s="18"/>
      <c r="AH28" s="18"/>
      <c r="AI28" s="95"/>
      <c r="AJ28" s="95"/>
      <c r="AK28" s="95"/>
    </row>
    <row r="29" spans="1:37" ht="6" customHeight="1" x14ac:dyDescent="0.4">
      <c r="A29" s="33"/>
      <c r="B29" s="23"/>
      <c r="C29" s="57"/>
      <c r="D29" s="58"/>
      <c r="E29" s="58"/>
      <c r="F29" s="58"/>
      <c r="G29" s="58"/>
      <c r="H29" s="58"/>
      <c r="I29" s="58"/>
      <c r="J29" s="58"/>
      <c r="K29" s="59"/>
      <c r="L29" s="59"/>
      <c r="M29" s="27"/>
      <c r="N29" s="27"/>
      <c r="O29" s="27"/>
      <c r="P29" s="27"/>
      <c r="Q29" s="27"/>
      <c r="R29" s="27"/>
      <c r="S29" s="28"/>
      <c r="T29" s="28"/>
      <c r="U29" s="29"/>
      <c r="V29" s="20"/>
      <c r="W29" s="20"/>
      <c r="X29" s="633"/>
      <c r="AB29" s="20"/>
      <c r="AC29" s="80"/>
      <c r="AD29" s="18"/>
      <c r="AE29" s="20"/>
      <c r="AF29" s="80"/>
      <c r="AG29" s="18"/>
      <c r="AH29" s="18"/>
      <c r="AI29" s="18"/>
      <c r="AJ29" s="18"/>
      <c r="AK29" s="18"/>
    </row>
    <row r="30" spans="1:37" ht="15" customHeight="1" x14ac:dyDescent="0.4">
      <c r="A30" s="22" t="s">
        <v>27</v>
      </c>
      <c r="B30" s="23"/>
      <c r="C30" s="57"/>
      <c r="D30" s="58"/>
      <c r="E30" s="58"/>
      <c r="F30" s="58"/>
      <c r="G30" s="58"/>
      <c r="H30" s="58"/>
      <c r="I30" s="58"/>
      <c r="J30" s="58"/>
      <c r="K30" s="59"/>
      <c r="L30" s="59"/>
      <c r="M30" s="27"/>
      <c r="N30" s="27"/>
      <c r="O30" s="27"/>
      <c r="P30" s="27"/>
      <c r="Q30" s="27"/>
      <c r="R30" s="27"/>
      <c r="S30" s="28"/>
      <c r="T30" s="28"/>
      <c r="U30" s="29"/>
      <c r="V30" s="20"/>
      <c r="W30" s="20"/>
      <c r="X30" s="633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37" ht="15" customHeight="1" x14ac:dyDescent="0.4">
      <c r="A31" s="22"/>
      <c r="B31" s="23" t="s">
        <v>28</v>
      </c>
      <c r="C31" s="57"/>
      <c r="D31" s="58"/>
      <c r="E31" s="58"/>
      <c r="F31" s="58"/>
      <c r="G31" s="58"/>
      <c r="H31" s="58"/>
      <c r="I31" s="58"/>
      <c r="J31" s="58"/>
      <c r="K31" s="59"/>
      <c r="L31" s="59">
        <v>190</v>
      </c>
      <c r="M31" s="27">
        <v>182</v>
      </c>
      <c r="N31" s="27">
        <v>176</v>
      </c>
      <c r="O31" s="27">
        <v>208</v>
      </c>
      <c r="P31" s="27">
        <v>169</v>
      </c>
      <c r="Q31" s="27"/>
      <c r="R31" s="27"/>
      <c r="S31" s="28">
        <v>199</v>
      </c>
      <c r="T31" s="28">
        <v>185</v>
      </c>
      <c r="U31" s="29">
        <v>219</v>
      </c>
      <c r="V31" s="20">
        <v>159</v>
      </c>
      <c r="W31" s="20">
        <v>194</v>
      </c>
      <c r="X31" s="561">
        <f>366-X32</f>
        <v>165</v>
      </c>
      <c r="Y31" s="2">
        <v>228</v>
      </c>
    </row>
    <row r="32" spans="1:37" ht="15" customHeight="1" x14ac:dyDescent="0.4">
      <c r="A32" s="22"/>
      <c r="B32" s="23" t="s">
        <v>29</v>
      </c>
      <c r="C32" s="57"/>
      <c r="D32" s="58"/>
      <c r="E32" s="58"/>
      <c r="F32" s="58"/>
      <c r="G32" s="58"/>
      <c r="H32" s="58"/>
      <c r="I32" s="58"/>
      <c r="J32" s="58"/>
      <c r="K32" s="59"/>
      <c r="L32" s="59">
        <v>221</v>
      </c>
      <c r="M32" s="27">
        <v>213</v>
      </c>
      <c r="N32" s="27">
        <v>231</v>
      </c>
      <c r="O32" s="27">
        <v>265</v>
      </c>
      <c r="P32" s="27">
        <v>217</v>
      </c>
      <c r="Q32" s="27"/>
      <c r="R32" s="27"/>
      <c r="S32" s="28">
        <v>227</v>
      </c>
      <c r="T32" s="28">
        <v>227</v>
      </c>
      <c r="U32" s="29">
        <v>227</v>
      </c>
      <c r="V32" s="20">
        <v>218</v>
      </c>
      <c r="W32" s="20">
        <v>226</v>
      </c>
      <c r="X32" s="633">
        <v>201</v>
      </c>
      <c r="Y32" s="2">
        <v>185</v>
      </c>
    </row>
    <row r="33" spans="1:24" x14ac:dyDescent="0.4">
      <c r="A33" s="33"/>
      <c r="B33" s="73" t="s">
        <v>30</v>
      </c>
      <c r="C33" s="61"/>
      <c r="D33" s="62"/>
      <c r="E33" s="62"/>
      <c r="F33" s="62"/>
      <c r="G33" s="62"/>
      <c r="H33" s="62"/>
      <c r="I33" s="62"/>
      <c r="J33" s="62"/>
      <c r="K33" s="63"/>
      <c r="L33" s="90">
        <f t="shared" ref="L33:P34" si="5">L31/L$20</f>
        <v>0.46228710462287104</v>
      </c>
      <c r="M33" s="90">
        <f t="shared" si="5"/>
        <v>0.46075949367088609</v>
      </c>
      <c r="N33" s="90">
        <f t="shared" si="5"/>
        <v>0.43243243243243246</v>
      </c>
      <c r="O33" s="90">
        <f t="shared" si="5"/>
        <v>0.43974630021141647</v>
      </c>
      <c r="P33" s="90">
        <f t="shared" si="5"/>
        <v>0.43782383419689119</v>
      </c>
      <c r="Q33" s="90">
        <v>0.46</v>
      </c>
      <c r="R33" s="90">
        <v>0.47</v>
      </c>
      <c r="S33" s="96">
        <f t="shared" ref="S33:U34" si="6">S31/S$20</f>
        <v>0.46713615023474181</v>
      </c>
      <c r="T33" s="96">
        <f t="shared" si="6"/>
        <v>0.44902912621359226</v>
      </c>
      <c r="U33" s="97">
        <f t="shared" si="6"/>
        <v>0.49103139013452912</v>
      </c>
      <c r="V33" s="616">
        <f>V31/V20</f>
        <v>0.4217506631299735</v>
      </c>
      <c r="W33" s="616">
        <f>W31/W20</f>
        <v>0.46190476190476193</v>
      </c>
      <c r="X33" s="639">
        <f>X31/366</f>
        <v>0.45081967213114754</v>
      </c>
    </row>
    <row r="34" spans="1:24" x14ac:dyDescent="0.4">
      <c r="A34" s="33"/>
      <c r="B34" s="73" t="s">
        <v>31</v>
      </c>
      <c r="C34" s="61"/>
      <c r="D34" s="62"/>
      <c r="E34" s="62"/>
      <c r="F34" s="62"/>
      <c r="G34" s="62"/>
      <c r="H34" s="62"/>
      <c r="I34" s="62"/>
      <c r="J34" s="62"/>
      <c r="K34" s="63"/>
      <c r="L34" s="90">
        <f t="shared" si="5"/>
        <v>0.53771289537712896</v>
      </c>
      <c r="M34" s="90">
        <f t="shared" si="5"/>
        <v>0.53924050632911391</v>
      </c>
      <c r="N34" s="90">
        <f t="shared" si="5"/>
        <v>0.56756756756756754</v>
      </c>
      <c r="O34" s="90">
        <f t="shared" si="5"/>
        <v>0.56025369978858353</v>
      </c>
      <c r="P34" s="90">
        <f t="shared" si="5"/>
        <v>0.56217616580310881</v>
      </c>
      <c r="Q34" s="90">
        <v>0.54</v>
      </c>
      <c r="R34" s="90">
        <v>0.53</v>
      </c>
      <c r="S34" s="96">
        <f t="shared" si="6"/>
        <v>0.53286384976525825</v>
      </c>
      <c r="T34" s="96">
        <f t="shared" si="6"/>
        <v>0.55097087378640774</v>
      </c>
      <c r="U34" s="97">
        <f t="shared" si="6"/>
        <v>0.50896860986547088</v>
      </c>
      <c r="V34" s="616">
        <f>V32/V20</f>
        <v>0.57824933687002655</v>
      </c>
      <c r="W34" s="616">
        <f>W32/W20</f>
        <v>0.53809523809523807</v>
      </c>
      <c r="X34" s="639">
        <f>1-X33</f>
        <v>0.54918032786885251</v>
      </c>
    </row>
    <row r="35" spans="1:24" s="94" customFormat="1" x14ac:dyDescent="0.4">
      <c r="A35" s="86"/>
      <c r="B35" s="98"/>
      <c r="C35" s="99"/>
      <c r="D35" s="100"/>
      <c r="E35" s="100"/>
      <c r="F35" s="100"/>
      <c r="G35" s="100"/>
      <c r="H35" s="100"/>
      <c r="I35" s="100"/>
      <c r="J35" s="100"/>
      <c r="K35" s="101"/>
      <c r="L35" s="101"/>
      <c r="M35" s="102"/>
      <c r="N35" s="102"/>
      <c r="O35" s="102"/>
      <c r="P35" s="102"/>
      <c r="Q35" s="102"/>
      <c r="R35" s="102"/>
      <c r="S35" s="103"/>
      <c r="T35" s="103"/>
      <c r="U35" s="104"/>
      <c r="V35" s="614"/>
      <c r="W35" s="614"/>
      <c r="X35" s="637"/>
    </row>
    <row r="36" spans="1:24" x14ac:dyDescent="0.4">
      <c r="A36" s="22"/>
      <c r="B36" s="23" t="s">
        <v>32</v>
      </c>
      <c r="C36" s="57"/>
      <c r="D36" s="58"/>
      <c r="E36" s="58"/>
      <c r="F36" s="58"/>
      <c r="G36" s="58"/>
      <c r="H36" s="58"/>
      <c r="I36" s="58"/>
      <c r="J36" s="58"/>
      <c r="K36" s="59"/>
      <c r="L36" s="75">
        <v>126</v>
      </c>
      <c r="M36" s="76">
        <v>121</v>
      </c>
      <c r="N36" s="70">
        <v>112</v>
      </c>
      <c r="O36" s="70">
        <v>118</v>
      </c>
      <c r="P36" s="70">
        <v>114</v>
      </c>
      <c r="Q36" s="70">
        <v>120</v>
      </c>
      <c r="R36" s="70">
        <v>99</v>
      </c>
      <c r="S36" s="105">
        <v>93</v>
      </c>
      <c r="T36" s="105">
        <v>104</v>
      </c>
      <c r="U36" s="106">
        <v>103</v>
      </c>
      <c r="V36" s="20">
        <v>99</v>
      </c>
      <c r="W36" s="20">
        <v>101</v>
      </c>
      <c r="X36" s="633">
        <v>87</v>
      </c>
    </row>
    <row r="37" spans="1:24" x14ac:dyDescent="0.4">
      <c r="A37" s="22"/>
      <c r="B37" s="23" t="s">
        <v>33</v>
      </c>
      <c r="C37" s="57"/>
      <c r="D37" s="58"/>
      <c r="E37" s="58"/>
      <c r="F37" s="58"/>
      <c r="G37" s="58"/>
      <c r="H37" s="58"/>
      <c r="I37" s="58"/>
      <c r="J37" s="58"/>
      <c r="K37" s="59"/>
      <c r="L37" s="75">
        <v>168</v>
      </c>
      <c r="M37" s="76">
        <v>143</v>
      </c>
      <c r="N37" s="70">
        <v>139</v>
      </c>
      <c r="O37" s="70">
        <v>172</v>
      </c>
      <c r="P37" s="70">
        <v>128</v>
      </c>
      <c r="Q37" s="70">
        <v>140</v>
      </c>
      <c r="R37" s="70">
        <v>137</v>
      </c>
      <c r="S37" s="105">
        <v>149</v>
      </c>
      <c r="T37" s="105">
        <v>139</v>
      </c>
      <c r="U37" s="106">
        <v>159</v>
      </c>
      <c r="V37" s="20">
        <v>142</v>
      </c>
      <c r="W37" s="20">
        <v>143</v>
      </c>
      <c r="X37" s="633">
        <f>224-X36</f>
        <v>137</v>
      </c>
    </row>
    <row r="38" spans="1:24" x14ac:dyDescent="0.4">
      <c r="A38" s="22"/>
      <c r="B38" s="23" t="s">
        <v>34</v>
      </c>
      <c r="C38" s="57"/>
      <c r="D38" s="58"/>
      <c r="E38" s="58"/>
      <c r="F38" s="58"/>
      <c r="G38" s="58"/>
      <c r="H38" s="58"/>
      <c r="I38" s="58"/>
      <c r="J38" s="58"/>
      <c r="K38" s="59"/>
      <c r="L38" s="75">
        <v>76</v>
      </c>
      <c r="M38" s="76">
        <v>75</v>
      </c>
      <c r="N38" s="70">
        <v>88</v>
      </c>
      <c r="O38" s="70">
        <v>118</v>
      </c>
      <c r="P38" s="70">
        <v>74</v>
      </c>
      <c r="Q38" s="70">
        <f>35+23+29+9</f>
        <v>96</v>
      </c>
      <c r="R38" s="70">
        <f>34+20+12+10</f>
        <v>76</v>
      </c>
      <c r="S38" s="105">
        <f>34+16+26+11</f>
        <v>87</v>
      </c>
      <c r="T38" s="105">
        <v>84</v>
      </c>
      <c r="U38" s="106">
        <v>71</v>
      </c>
      <c r="V38" s="20">
        <f>61+12</f>
        <v>73</v>
      </c>
      <c r="W38" s="20">
        <v>89</v>
      </c>
      <c r="X38" s="633">
        <v>47</v>
      </c>
    </row>
    <row r="39" spans="1:24" x14ac:dyDescent="0.4">
      <c r="A39" s="22"/>
      <c r="B39" s="23" t="s">
        <v>35</v>
      </c>
      <c r="C39" s="57"/>
      <c r="D39" s="58"/>
      <c r="E39" s="58"/>
      <c r="F39" s="58"/>
      <c r="G39" s="58"/>
      <c r="H39" s="58"/>
      <c r="I39" s="58"/>
      <c r="J39" s="58"/>
      <c r="K39" s="59"/>
      <c r="L39" s="75">
        <v>26</v>
      </c>
      <c r="M39" s="76">
        <v>41</v>
      </c>
      <c r="N39" s="70">
        <v>45</v>
      </c>
      <c r="O39" s="70">
        <v>47</v>
      </c>
      <c r="P39" s="70">
        <v>47</v>
      </c>
      <c r="Q39" s="70">
        <v>61</v>
      </c>
      <c r="R39" s="70">
        <v>44</v>
      </c>
      <c r="S39" s="105">
        <v>66</v>
      </c>
      <c r="T39" s="105">
        <f>T20-T36-T37-T38-T40</f>
        <v>53</v>
      </c>
      <c r="U39" s="106">
        <v>77</v>
      </c>
      <c r="V39" s="20">
        <v>39</v>
      </c>
      <c r="W39" s="20">
        <v>61</v>
      </c>
      <c r="X39" s="633">
        <f>341-X40-X38-X37-X36</f>
        <v>46</v>
      </c>
    </row>
    <row r="40" spans="1:24" x14ac:dyDescent="0.4">
      <c r="A40" s="22"/>
      <c r="B40" s="23" t="s">
        <v>36</v>
      </c>
      <c r="C40" s="57"/>
      <c r="D40" s="58"/>
      <c r="E40" s="58"/>
      <c r="F40" s="58"/>
      <c r="G40" s="58"/>
      <c r="H40" s="58"/>
      <c r="I40" s="58"/>
      <c r="J40" s="58"/>
      <c r="K40" s="59"/>
      <c r="L40" s="59">
        <v>15</v>
      </c>
      <c r="M40" s="27">
        <v>15</v>
      </c>
      <c r="N40" s="27">
        <v>23</v>
      </c>
      <c r="O40" s="27">
        <v>18</v>
      </c>
      <c r="P40" s="27">
        <v>23</v>
      </c>
      <c r="Q40" s="27">
        <v>25</v>
      </c>
      <c r="R40" s="27">
        <v>30</v>
      </c>
      <c r="S40" s="28">
        <v>31</v>
      </c>
      <c r="T40" s="28">
        <v>32</v>
      </c>
      <c r="U40" s="29">
        <v>36</v>
      </c>
      <c r="V40" s="20">
        <v>24</v>
      </c>
      <c r="W40" s="20">
        <v>26</v>
      </c>
      <c r="X40" s="633">
        <v>24</v>
      </c>
    </row>
    <row r="41" spans="1:24" x14ac:dyDescent="0.4">
      <c r="A41" s="33"/>
      <c r="B41" s="73" t="s">
        <v>37</v>
      </c>
      <c r="C41" s="61"/>
      <c r="D41" s="62"/>
      <c r="E41" s="62"/>
      <c r="F41" s="62"/>
      <c r="G41" s="62"/>
      <c r="H41" s="62"/>
      <c r="I41" s="62"/>
      <c r="J41" s="62"/>
      <c r="K41" s="63"/>
      <c r="L41" s="64">
        <f t="shared" ref="L41:T45" si="7">L36/L$47</f>
        <v>0.30656934306569344</v>
      </c>
      <c r="M41" s="64">
        <f t="shared" si="7"/>
        <v>0.30632911392405066</v>
      </c>
      <c r="N41" s="64">
        <f t="shared" si="7"/>
        <v>0.27518427518427518</v>
      </c>
      <c r="O41" s="64">
        <f t="shared" si="7"/>
        <v>0.24947145877378435</v>
      </c>
      <c r="P41" s="64">
        <f t="shared" si="7"/>
        <v>0.29533678756476683</v>
      </c>
      <c r="Q41" s="64">
        <f t="shared" si="7"/>
        <v>0.27149321266968324</v>
      </c>
      <c r="R41" s="64">
        <f t="shared" si="7"/>
        <v>0.25647668393782386</v>
      </c>
      <c r="S41" s="65">
        <f t="shared" si="7"/>
        <v>0.21830985915492956</v>
      </c>
      <c r="T41" s="65">
        <f t="shared" si="7"/>
        <v>0.25242718446601942</v>
      </c>
      <c r="U41" s="66">
        <f t="shared" ref="U41" si="8">U36/U$47</f>
        <v>0.23094170403587444</v>
      </c>
      <c r="V41" s="614">
        <f>V36/V$20</f>
        <v>0.2625994694960212</v>
      </c>
      <c r="W41" s="614">
        <f>W36/W$20</f>
        <v>0.24047619047619048</v>
      </c>
      <c r="X41" s="637">
        <f>X36/341</f>
        <v>0.25513196480938416</v>
      </c>
    </row>
    <row r="42" spans="1:24" x14ac:dyDescent="0.4">
      <c r="A42" s="33"/>
      <c r="B42" s="73" t="s">
        <v>38</v>
      </c>
      <c r="C42" s="61"/>
      <c r="D42" s="62"/>
      <c r="E42" s="62"/>
      <c r="F42" s="62"/>
      <c r="G42" s="62"/>
      <c r="H42" s="62"/>
      <c r="I42" s="62"/>
      <c r="J42" s="62"/>
      <c r="K42" s="63"/>
      <c r="L42" s="64">
        <f t="shared" si="7"/>
        <v>0.40875912408759124</v>
      </c>
      <c r="M42" s="64">
        <f t="shared" si="7"/>
        <v>0.36202531645569619</v>
      </c>
      <c r="N42" s="64">
        <f t="shared" si="7"/>
        <v>0.34152334152334152</v>
      </c>
      <c r="O42" s="64">
        <f t="shared" si="7"/>
        <v>0.36363636363636365</v>
      </c>
      <c r="P42" s="64">
        <f t="shared" si="7"/>
        <v>0.33160621761658032</v>
      </c>
      <c r="Q42" s="64">
        <f t="shared" si="7"/>
        <v>0.31674208144796379</v>
      </c>
      <c r="R42" s="64">
        <f t="shared" si="7"/>
        <v>0.3549222797927461</v>
      </c>
      <c r="S42" s="65">
        <f t="shared" si="7"/>
        <v>0.34976525821596244</v>
      </c>
      <c r="T42" s="65">
        <f t="shared" si="7"/>
        <v>0.33737864077669905</v>
      </c>
      <c r="U42" s="66">
        <f t="shared" ref="U42" si="9">U37/U$47</f>
        <v>0.35650224215246634</v>
      </c>
      <c r="V42" s="614">
        <f t="shared" ref="V42:W45" si="10">V37/V$20</f>
        <v>0.37665782493368699</v>
      </c>
      <c r="W42" s="614">
        <f t="shared" si="10"/>
        <v>0.34047619047619049</v>
      </c>
      <c r="X42" s="637">
        <f>X37/341</f>
        <v>0.40175953079178883</v>
      </c>
    </row>
    <row r="43" spans="1:24" x14ac:dyDescent="0.4">
      <c r="A43" s="33"/>
      <c r="B43" s="73" t="s">
        <v>39</v>
      </c>
      <c r="C43" s="61"/>
      <c r="D43" s="62"/>
      <c r="E43" s="62"/>
      <c r="F43" s="62"/>
      <c r="G43" s="62"/>
      <c r="H43" s="62"/>
      <c r="I43" s="62"/>
      <c r="J43" s="62"/>
      <c r="K43" s="63"/>
      <c r="L43" s="64">
        <f t="shared" si="7"/>
        <v>0.18491484184914841</v>
      </c>
      <c r="M43" s="64">
        <f t="shared" si="7"/>
        <v>0.189873417721519</v>
      </c>
      <c r="N43" s="64">
        <f t="shared" si="7"/>
        <v>0.21621621621621623</v>
      </c>
      <c r="O43" s="64">
        <f t="shared" si="7"/>
        <v>0.24947145877378435</v>
      </c>
      <c r="P43" s="64">
        <f t="shared" si="7"/>
        <v>0.19170984455958548</v>
      </c>
      <c r="Q43" s="64">
        <f t="shared" si="7"/>
        <v>0.21719457013574661</v>
      </c>
      <c r="R43" s="64">
        <f t="shared" si="7"/>
        <v>0.19689119170984457</v>
      </c>
      <c r="S43" s="65">
        <f t="shared" si="7"/>
        <v>0.20422535211267606</v>
      </c>
      <c r="T43" s="65">
        <f t="shared" si="7"/>
        <v>0.20388349514563106</v>
      </c>
      <c r="U43" s="66">
        <f t="shared" ref="U43" si="11">U38/U$47</f>
        <v>0.15919282511210761</v>
      </c>
      <c r="V43" s="614">
        <f t="shared" si="10"/>
        <v>0.19363395225464192</v>
      </c>
      <c r="W43" s="614">
        <f t="shared" si="10"/>
        <v>0.2119047619047619</v>
      </c>
      <c r="X43" s="637">
        <f>X38/341</f>
        <v>0.1378299120234604</v>
      </c>
    </row>
    <row r="44" spans="1:24" x14ac:dyDescent="0.4">
      <c r="A44" s="33"/>
      <c r="B44" s="73" t="s">
        <v>40</v>
      </c>
      <c r="C44" s="61"/>
      <c r="D44" s="62"/>
      <c r="E44" s="62"/>
      <c r="F44" s="62"/>
      <c r="G44" s="62"/>
      <c r="H44" s="62"/>
      <c r="I44" s="62"/>
      <c r="J44" s="62"/>
      <c r="K44" s="63"/>
      <c r="L44" s="64">
        <f t="shared" si="7"/>
        <v>6.3260340632603412E-2</v>
      </c>
      <c r="M44" s="64">
        <f t="shared" si="7"/>
        <v>0.10379746835443038</v>
      </c>
      <c r="N44" s="64">
        <f t="shared" si="7"/>
        <v>0.11056511056511056</v>
      </c>
      <c r="O44" s="64">
        <f t="shared" si="7"/>
        <v>9.9365750528541227E-2</v>
      </c>
      <c r="P44" s="64">
        <f t="shared" si="7"/>
        <v>0.12176165803108809</v>
      </c>
      <c r="Q44" s="64">
        <f t="shared" si="7"/>
        <v>0.13800904977375567</v>
      </c>
      <c r="R44" s="64">
        <f t="shared" si="7"/>
        <v>0.11398963730569948</v>
      </c>
      <c r="S44" s="65">
        <f t="shared" si="7"/>
        <v>0.15492957746478872</v>
      </c>
      <c r="T44" s="65">
        <f t="shared" si="7"/>
        <v>0.12864077669902912</v>
      </c>
      <c r="U44" s="66">
        <f t="shared" ref="U44" si="12">U39/U$47</f>
        <v>0.1726457399103139</v>
      </c>
      <c r="V44" s="614">
        <f t="shared" si="10"/>
        <v>0.10344827586206896</v>
      </c>
      <c r="W44" s="614">
        <f t="shared" si="10"/>
        <v>0.14523809523809525</v>
      </c>
      <c r="X44" s="637">
        <f>X39/341</f>
        <v>0.13489736070381231</v>
      </c>
    </row>
    <row r="45" spans="1:24" x14ac:dyDescent="0.4">
      <c r="A45" s="33"/>
      <c r="B45" s="73" t="s">
        <v>41</v>
      </c>
      <c r="C45" s="61"/>
      <c r="D45" s="62"/>
      <c r="E45" s="62"/>
      <c r="F45" s="62"/>
      <c r="G45" s="62"/>
      <c r="H45" s="62"/>
      <c r="I45" s="62"/>
      <c r="J45" s="62"/>
      <c r="K45" s="63"/>
      <c r="L45" s="64">
        <f t="shared" si="7"/>
        <v>3.6496350364963501E-2</v>
      </c>
      <c r="M45" s="64">
        <f t="shared" si="7"/>
        <v>3.7974683544303799E-2</v>
      </c>
      <c r="N45" s="64">
        <f t="shared" si="7"/>
        <v>5.6511056511056514E-2</v>
      </c>
      <c r="O45" s="64">
        <f t="shared" si="7"/>
        <v>3.8054968287526428E-2</v>
      </c>
      <c r="P45" s="64">
        <f t="shared" si="7"/>
        <v>5.9585492227979271E-2</v>
      </c>
      <c r="Q45" s="64">
        <f t="shared" si="7"/>
        <v>5.6561085972850679E-2</v>
      </c>
      <c r="R45" s="64">
        <f t="shared" si="7"/>
        <v>7.7720207253886009E-2</v>
      </c>
      <c r="S45" s="65">
        <f t="shared" si="7"/>
        <v>7.2769953051643188E-2</v>
      </c>
      <c r="T45" s="65">
        <f t="shared" si="7"/>
        <v>7.7669902912621352E-2</v>
      </c>
      <c r="U45" s="66">
        <f t="shared" ref="U45" si="13">U40/U$47</f>
        <v>8.0717488789237665E-2</v>
      </c>
      <c r="V45" s="614">
        <f t="shared" si="10"/>
        <v>6.3660477453580902E-2</v>
      </c>
      <c r="W45" s="614">
        <f t="shared" si="10"/>
        <v>6.1904761904761907E-2</v>
      </c>
      <c r="X45" s="637">
        <f>X40/341</f>
        <v>7.0381231671554259E-2</v>
      </c>
    </row>
    <row r="46" spans="1:24" x14ac:dyDescent="0.4">
      <c r="A46" s="33"/>
      <c r="B46" s="73" t="s">
        <v>42</v>
      </c>
      <c r="C46" s="61"/>
      <c r="D46" s="62"/>
      <c r="E46" s="62"/>
      <c r="F46" s="62">
        <v>0.26300000000000001</v>
      </c>
      <c r="G46" s="62">
        <v>0.28999999999999998</v>
      </c>
      <c r="H46" s="62">
        <v>0.22</v>
      </c>
      <c r="I46" s="62">
        <v>0.21</v>
      </c>
      <c r="J46" s="62">
        <v>0.3</v>
      </c>
      <c r="K46" s="63">
        <v>0.32</v>
      </c>
      <c r="L46" s="64">
        <f t="shared" ref="L46:Q46" si="14">SUM(L38:L40)/L47</f>
        <v>0.28467153284671531</v>
      </c>
      <c r="M46" s="64">
        <f t="shared" si="14"/>
        <v>0.33164556962025316</v>
      </c>
      <c r="N46" s="64">
        <f t="shared" si="14"/>
        <v>0.3832923832923833</v>
      </c>
      <c r="O46" s="64">
        <f t="shared" si="14"/>
        <v>0.386892177589852</v>
      </c>
      <c r="P46" s="64">
        <f t="shared" si="14"/>
        <v>0.37305699481865284</v>
      </c>
      <c r="Q46" s="64">
        <f t="shared" si="14"/>
        <v>0.41176470588235292</v>
      </c>
      <c r="R46" s="64">
        <f>SUM(R38:R40)/R47</f>
        <v>0.38860103626943004</v>
      </c>
      <c r="S46" s="65">
        <f>SUM(S38:S40)/S47</f>
        <v>0.431924882629108</v>
      </c>
      <c r="T46" s="65">
        <f>SUM(T38:T40)/T47</f>
        <v>0.41019417475728154</v>
      </c>
      <c r="U46" s="66">
        <f>SUM(U38:U40)/U47</f>
        <v>0.41255605381165922</v>
      </c>
      <c r="V46" s="614" t="str">
        <f>"Domestic = "&amp;ROUND(SUM(V43:V44),2)*100&amp;"%"</f>
        <v>Domestic = 30%</v>
      </c>
      <c r="W46" s="614" t="str">
        <f>"Domestic = "&amp;ROUND(SUM(W43:W44),2)*100&amp;"%"</f>
        <v>Domestic = 36%</v>
      </c>
      <c r="X46" s="637">
        <f>X43+X44+X45</f>
        <v>0.34310850439882695</v>
      </c>
    </row>
    <row r="47" spans="1:24" s="94" customFormat="1" x14ac:dyDescent="0.4">
      <c r="A47" s="86"/>
      <c r="B47" s="107" t="s">
        <v>43</v>
      </c>
      <c r="C47" s="108"/>
      <c r="D47" s="109"/>
      <c r="E47" s="109"/>
      <c r="F47" s="109"/>
      <c r="G47" s="109"/>
      <c r="H47" s="109"/>
      <c r="I47" s="109"/>
      <c r="J47" s="109"/>
      <c r="K47" s="110"/>
      <c r="L47" s="75">
        <v>411</v>
      </c>
      <c r="M47" s="76">
        <v>395</v>
      </c>
      <c r="N47" s="70">
        <v>407</v>
      </c>
      <c r="O47" s="70">
        <v>473</v>
      </c>
      <c r="P47" s="70">
        <v>386</v>
      </c>
      <c r="Q47" s="70">
        <f>SUM(Q36:Q40)</f>
        <v>442</v>
      </c>
      <c r="R47" s="70">
        <v>386</v>
      </c>
      <c r="S47" s="70">
        <f>SUM(S36:S40)</f>
        <v>426</v>
      </c>
      <c r="T47" s="70">
        <f>SUM(T36:T40)</f>
        <v>412</v>
      </c>
      <c r="U47" s="111">
        <f>SUM(U36:U40)</f>
        <v>446</v>
      </c>
      <c r="V47" s="80">
        <v>377</v>
      </c>
      <c r="W47" s="80">
        <v>420</v>
      </c>
      <c r="X47" s="557">
        <v>341</v>
      </c>
    </row>
    <row r="48" spans="1:24" s="94" customFormat="1" x14ac:dyDescent="0.4">
      <c r="A48" s="86"/>
      <c r="B48" s="98"/>
      <c r="C48" s="99"/>
      <c r="D48" s="100"/>
      <c r="E48" s="100"/>
      <c r="F48" s="100"/>
      <c r="G48" s="100"/>
      <c r="H48" s="100"/>
      <c r="I48" s="100"/>
      <c r="J48" s="100"/>
      <c r="K48" s="101"/>
      <c r="L48" s="101"/>
      <c r="M48" s="102"/>
      <c r="N48" s="102"/>
      <c r="O48" s="102"/>
      <c r="P48" s="102"/>
      <c r="Q48" s="102"/>
      <c r="R48" s="102"/>
      <c r="S48" s="103"/>
      <c r="T48" s="103"/>
      <c r="U48" s="104"/>
      <c r="V48" s="614"/>
      <c r="W48" s="614"/>
      <c r="X48" s="637"/>
    </row>
    <row r="49" spans="1:24" x14ac:dyDescent="0.4">
      <c r="A49" s="22"/>
      <c r="B49" s="112" t="s">
        <v>44</v>
      </c>
      <c r="C49" s="113"/>
      <c r="D49" s="74"/>
      <c r="E49" s="74"/>
      <c r="F49" s="74"/>
      <c r="G49" s="74">
        <v>10</v>
      </c>
      <c r="H49" s="74">
        <v>8</v>
      </c>
      <c r="I49" s="74">
        <v>12</v>
      </c>
      <c r="J49" s="74">
        <v>17</v>
      </c>
      <c r="K49" s="75">
        <v>26</v>
      </c>
      <c r="L49" s="75">
        <v>24</v>
      </c>
      <c r="M49" s="76">
        <v>26</v>
      </c>
      <c r="N49" s="76">
        <v>25</v>
      </c>
      <c r="O49" s="76">
        <v>41</v>
      </c>
      <c r="P49" s="76">
        <v>37</v>
      </c>
      <c r="Q49" s="76">
        <v>48</v>
      </c>
      <c r="R49" s="76">
        <v>45</v>
      </c>
      <c r="S49" s="114">
        <v>53</v>
      </c>
      <c r="T49" s="114">
        <v>53</v>
      </c>
      <c r="U49" s="115">
        <v>66</v>
      </c>
      <c r="V49" s="80">
        <f>15+10+9+10+1</f>
        <v>45</v>
      </c>
      <c r="W49" s="80">
        <f>Profile17!$K$76</f>
        <v>53</v>
      </c>
      <c r="X49" s="557">
        <f>Profile17!K76</f>
        <v>53</v>
      </c>
    </row>
    <row r="50" spans="1:24" s="94" customFormat="1" x14ac:dyDescent="0.4">
      <c r="A50" s="86"/>
      <c r="B50" s="87" t="s">
        <v>45</v>
      </c>
      <c r="C50" s="88"/>
      <c r="D50" s="89"/>
      <c r="E50" s="89"/>
      <c r="F50" s="89"/>
      <c r="G50" s="62">
        <f>G49/G22</f>
        <v>2.7624309392265192E-2</v>
      </c>
      <c r="H50" s="62">
        <f>H49/H22</f>
        <v>2.3460410557184751E-2</v>
      </c>
      <c r="I50" s="62">
        <f>I49/I22</f>
        <v>3.2000000000000001E-2</v>
      </c>
      <c r="J50" s="62">
        <f>J49/J22</f>
        <v>4.4619422572178477E-2</v>
      </c>
      <c r="K50" s="63">
        <f>K49/K22</f>
        <v>6.6666666666666666E-2</v>
      </c>
      <c r="L50" s="116">
        <f>L49/L47</f>
        <v>5.8394160583941604E-2</v>
      </c>
      <c r="M50" s="116">
        <f t="shared" ref="M50:U50" si="15">M49/M22</f>
        <v>7.1428571428571425E-2</v>
      </c>
      <c r="N50" s="116">
        <f t="shared" si="15"/>
        <v>6.6312997347480113E-2</v>
      </c>
      <c r="O50" s="116">
        <f t="shared" si="15"/>
        <v>8.8937093275488072E-2</v>
      </c>
      <c r="P50" s="116">
        <f t="shared" si="15"/>
        <v>0.10109289617486339</v>
      </c>
      <c r="Q50" s="116">
        <f t="shared" si="15"/>
        <v>0.11401425178147269</v>
      </c>
      <c r="R50" s="116">
        <f t="shared" si="15"/>
        <v>0.12396694214876033</v>
      </c>
      <c r="S50" s="117">
        <f t="shared" si="15"/>
        <v>0.13184079601990051</v>
      </c>
      <c r="T50" s="117">
        <f t="shared" si="15"/>
        <v>0.13554987212276215</v>
      </c>
      <c r="U50" s="118">
        <f t="shared" si="15"/>
        <v>0.15602836879432624</v>
      </c>
      <c r="V50" s="614">
        <f>V49/V$22</f>
        <v>0.12676056338028169</v>
      </c>
      <c r="W50" s="614">
        <f>W49/W$22</f>
        <v>0.13451776649746192</v>
      </c>
      <c r="X50" s="637">
        <f>X49/341</f>
        <v>0.15542521994134897</v>
      </c>
    </row>
    <row r="51" spans="1:24" s="94" customFormat="1" x14ac:dyDescent="0.4">
      <c r="A51" s="86"/>
      <c r="B51" s="87" t="s">
        <v>46</v>
      </c>
      <c r="C51" s="88"/>
      <c r="D51" s="89"/>
      <c r="E51" s="89"/>
      <c r="F51" s="89"/>
      <c r="G51" s="77">
        <v>9</v>
      </c>
      <c r="H51" s="77">
        <v>7</v>
      </c>
      <c r="I51" s="77">
        <v>9</v>
      </c>
      <c r="J51" s="77">
        <v>7</v>
      </c>
      <c r="K51" s="78">
        <v>3</v>
      </c>
      <c r="L51" s="78">
        <v>14</v>
      </c>
      <c r="M51" s="79">
        <v>13</v>
      </c>
      <c r="N51" s="79">
        <v>21</v>
      </c>
      <c r="O51" s="79">
        <v>17</v>
      </c>
      <c r="P51" s="79">
        <v>20</v>
      </c>
      <c r="Q51" s="79">
        <v>21</v>
      </c>
      <c r="R51" s="79">
        <v>26</v>
      </c>
      <c r="S51" s="71">
        <v>19</v>
      </c>
      <c r="T51" s="71">
        <v>29</v>
      </c>
      <c r="U51" s="72">
        <v>32</v>
      </c>
      <c r="V51" s="80">
        <v>24</v>
      </c>
      <c r="W51" s="80">
        <v>25</v>
      </c>
      <c r="X51" s="557">
        <v>24</v>
      </c>
    </row>
    <row r="52" spans="1:24" s="94" customFormat="1" x14ac:dyDescent="0.4">
      <c r="A52" s="86"/>
      <c r="B52" s="87" t="s">
        <v>47</v>
      </c>
      <c r="C52" s="88"/>
      <c r="D52" s="89"/>
      <c r="E52" s="89"/>
      <c r="F52" s="89"/>
      <c r="G52" s="62">
        <f>G51/G22</f>
        <v>2.4861878453038673E-2</v>
      </c>
      <c r="H52" s="62">
        <f>H51/H22</f>
        <v>2.0527859237536656E-2</v>
      </c>
      <c r="I52" s="62">
        <f>I51/I22</f>
        <v>2.4E-2</v>
      </c>
      <c r="J52" s="62">
        <f>J51/J22</f>
        <v>1.8372703412073491E-2</v>
      </c>
      <c r="K52" s="63">
        <f>K51/K22</f>
        <v>7.6923076923076927E-3</v>
      </c>
      <c r="L52" s="116">
        <f>L51/L47</f>
        <v>3.4063260340632603E-2</v>
      </c>
      <c r="M52" s="116">
        <f t="shared" ref="M52:R52" si="16">M51/M22</f>
        <v>3.5714285714285712E-2</v>
      </c>
      <c r="N52" s="116">
        <f t="shared" si="16"/>
        <v>5.5702917771883291E-2</v>
      </c>
      <c r="O52" s="116">
        <f t="shared" si="16"/>
        <v>3.6876355748373099E-2</v>
      </c>
      <c r="P52" s="116">
        <f t="shared" si="16"/>
        <v>5.4644808743169397E-2</v>
      </c>
      <c r="Q52" s="116">
        <f t="shared" si="16"/>
        <v>4.9881235154394299E-2</v>
      </c>
      <c r="R52" s="116">
        <f t="shared" si="16"/>
        <v>7.1625344352617082E-2</v>
      </c>
      <c r="S52" s="117">
        <f>S51/S22</f>
        <v>4.7263681592039801E-2</v>
      </c>
      <c r="T52" s="117">
        <f>T51/T22</f>
        <v>7.4168797953964194E-2</v>
      </c>
      <c r="U52" s="118">
        <f>U51/U22</f>
        <v>7.5650118203309691E-2</v>
      </c>
      <c r="V52" s="614">
        <f>V51/V$22</f>
        <v>6.7605633802816895E-2</v>
      </c>
      <c r="W52" s="614">
        <f>W51/W$22</f>
        <v>6.3451776649746189E-2</v>
      </c>
      <c r="X52" s="637">
        <f>X51/341</f>
        <v>7.0381231671554259E-2</v>
      </c>
    </row>
    <row r="53" spans="1:24" s="94" customFormat="1" x14ac:dyDescent="0.4">
      <c r="A53" s="86"/>
      <c r="B53" s="119" t="s">
        <v>48</v>
      </c>
      <c r="C53" s="120"/>
      <c r="D53" s="121"/>
      <c r="E53" s="121"/>
      <c r="F53" s="121"/>
      <c r="G53" s="122" t="e">
        <f t="shared" ref="G53:L53" si="17">(G49+G51)/G47</f>
        <v>#DIV/0!</v>
      </c>
      <c r="H53" s="122" t="e">
        <f t="shared" si="17"/>
        <v>#DIV/0!</v>
      </c>
      <c r="I53" s="122" t="e">
        <f t="shared" si="17"/>
        <v>#DIV/0!</v>
      </c>
      <c r="J53" s="122" t="e">
        <f t="shared" si="17"/>
        <v>#DIV/0!</v>
      </c>
      <c r="K53" s="123" t="e">
        <f t="shared" si="17"/>
        <v>#DIV/0!</v>
      </c>
      <c r="L53" s="124">
        <f t="shared" si="17"/>
        <v>9.2457420924574207E-2</v>
      </c>
      <c r="M53" s="124">
        <f t="shared" ref="M53:R53" si="18">(M49+M51)/M22</f>
        <v>0.10714285714285714</v>
      </c>
      <c r="N53" s="124">
        <f t="shared" si="18"/>
        <v>0.1220159151193634</v>
      </c>
      <c r="O53" s="124">
        <f t="shared" si="18"/>
        <v>0.12581344902386118</v>
      </c>
      <c r="P53" s="124">
        <f t="shared" si="18"/>
        <v>0.15573770491803279</v>
      </c>
      <c r="Q53" s="124">
        <f t="shared" si="18"/>
        <v>0.16389548693586697</v>
      </c>
      <c r="R53" s="124">
        <f t="shared" si="18"/>
        <v>0.19559228650137742</v>
      </c>
      <c r="S53" s="125">
        <f>(S49+S51)/S22</f>
        <v>0.17910447761194029</v>
      </c>
      <c r="T53" s="125">
        <f>(T49+T51)/T22</f>
        <v>0.20971867007672634</v>
      </c>
      <c r="U53" s="126">
        <f>(U49+U51)/U22</f>
        <v>0.23167848699763594</v>
      </c>
      <c r="V53" s="534">
        <f>(V49+14+3)/V22</f>
        <v>0.17464788732394365</v>
      </c>
      <c r="W53" s="534">
        <f>(W49+20+2)/W22</f>
        <v>0.19035532994923857</v>
      </c>
      <c r="X53" s="640"/>
    </row>
    <row r="54" spans="1:24" s="94" customFormat="1" x14ac:dyDescent="0.4">
      <c r="A54" s="86"/>
      <c r="B54" s="98"/>
      <c r="C54" s="99"/>
      <c r="D54" s="100"/>
      <c r="E54" s="100"/>
      <c r="F54" s="100"/>
      <c r="G54" s="100"/>
      <c r="H54" s="100"/>
      <c r="I54" s="100"/>
      <c r="J54" s="100"/>
      <c r="K54" s="101"/>
      <c r="L54" s="101"/>
      <c r="M54" s="102"/>
      <c r="N54" s="102"/>
      <c r="O54" s="102"/>
      <c r="P54" s="102"/>
      <c r="Q54" s="102"/>
      <c r="R54" s="102"/>
      <c r="S54" s="103"/>
      <c r="T54" s="103"/>
      <c r="U54" s="104"/>
      <c r="V54" s="614"/>
      <c r="W54" s="614"/>
      <c r="X54" s="637"/>
    </row>
    <row r="55" spans="1:24" x14ac:dyDescent="0.4">
      <c r="A55" s="33"/>
      <c r="B55" s="73" t="s">
        <v>49</v>
      </c>
      <c r="C55" s="61"/>
      <c r="D55" s="62"/>
      <c r="E55" s="62"/>
      <c r="F55" s="62"/>
      <c r="G55" s="62"/>
      <c r="H55" s="62"/>
      <c r="I55" s="62"/>
      <c r="J55" s="62"/>
      <c r="K55" s="63"/>
      <c r="L55" s="90"/>
      <c r="M55" s="90"/>
      <c r="N55" s="90"/>
      <c r="O55" s="90"/>
      <c r="P55" s="90"/>
      <c r="Q55" s="90">
        <v>0.33</v>
      </c>
      <c r="R55" s="90">
        <f>105/386</f>
        <v>0.27202072538860106</v>
      </c>
      <c r="S55" s="127">
        <v>0.26</v>
      </c>
      <c r="T55" s="127">
        <v>0.27</v>
      </c>
      <c r="U55" s="128">
        <f>106/U47</f>
        <v>0.23766816143497757</v>
      </c>
      <c r="V55" s="614">
        <f>118/V$22</f>
        <v>0.3323943661971831</v>
      </c>
      <c r="W55" s="614">
        <f>112/W$22</f>
        <v>0.28426395939086296</v>
      </c>
      <c r="X55" s="637">
        <v>0.31</v>
      </c>
    </row>
    <row r="56" spans="1:24" x14ac:dyDescent="0.4">
      <c r="A56" s="33"/>
      <c r="B56" s="23"/>
      <c r="C56" s="57"/>
      <c r="D56" s="58"/>
      <c r="E56" s="58"/>
      <c r="F56" s="58"/>
      <c r="G56" s="58"/>
      <c r="H56" s="58"/>
      <c r="I56" s="58"/>
      <c r="J56" s="58"/>
      <c r="K56" s="59"/>
      <c r="L56" s="59"/>
      <c r="M56" s="27"/>
      <c r="N56" s="27"/>
      <c r="O56" s="27"/>
      <c r="P56" s="27"/>
      <c r="Q56" s="27"/>
      <c r="R56" s="27"/>
      <c r="S56" s="28"/>
      <c r="T56" s="28"/>
      <c r="U56" s="29"/>
      <c r="V56" s="20"/>
      <c r="W56" s="20"/>
      <c r="X56" s="633"/>
    </row>
    <row r="57" spans="1:24" x14ac:dyDescent="0.4">
      <c r="A57" s="22" t="s">
        <v>50</v>
      </c>
      <c r="B57" s="23"/>
      <c r="C57" s="57"/>
      <c r="D57" s="58"/>
      <c r="E57" s="58"/>
      <c r="F57" s="58"/>
      <c r="G57" s="58"/>
      <c r="H57" s="58"/>
      <c r="I57" s="58"/>
      <c r="J57" s="58"/>
      <c r="K57" s="59"/>
      <c r="L57" s="59"/>
      <c r="M57" s="27"/>
      <c r="N57" s="27"/>
      <c r="O57" s="27"/>
      <c r="P57" s="27"/>
      <c r="Q57" s="27"/>
      <c r="R57" s="27"/>
      <c r="S57" s="28"/>
      <c r="T57" s="28"/>
      <c r="U57" s="29"/>
      <c r="V57" s="20"/>
      <c r="W57" s="20"/>
      <c r="X57" s="633"/>
    </row>
    <row r="58" spans="1:24" x14ac:dyDescent="0.4">
      <c r="A58" s="22"/>
      <c r="B58" s="23" t="s">
        <v>51</v>
      </c>
      <c r="C58" s="57"/>
      <c r="D58" s="58"/>
      <c r="E58" s="58"/>
      <c r="F58" s="58"/>
      <c r="G58" s="58"/>
      <c r="H58" s="58"/>
      <c r="I58" s="58"/>
      <c r="J58" s="58"/>
      <c r="K58" s="59"/>
      <c r="L58" s="59"/>
      <c r="M58" s="27"/>
      <c r="N58" s="27">
        <v>3</v>
      </c>
      <c r="O58" s="27">
        <v>8</v>
      </c>
      <c r="P58" s="27">
        <v>4</v>
      </c>
      <c r="Q58" s="27">
        <v>11</v>
      </c>
      <c r="R58" s="27">
        <v>5</v>
      </c>
      <c r="S58" s="28">
        <v>5</v>
      </c>
      <c r="T58" s="28">
        <v>5</v>
      </c>
      <c r="U58" s="29">
        <v>5</v>
      </c>
      <c r="V58" s="20"/>
      <c r="W58" s="20"/>
      <c r="X58" s="633"/>
    </row>
    <row r="59" spans="1:24" x14ac:dyDescent="0.4">
      <c r="A59" s="33"/>
      <c r="B59" s="23" t="s">
        <v>52</v>
      </c>
      <c r="C59" s="57"/>
      <c r="D59" s="58"/>
      <c r="E59" s="58"/>
      <c r="F59" s="58"/>
      <c r="G59" s="58"/>
      <c r="H59" s="58"/>
      <c r="I59" s="58"/>
      <c r="J59" s="58"/>
      <c r="K59" s="59"/>
      <c r="L59" s="59">
        <v>5</v>
      </c>
      <c r="M59" s="27">
        <v>5</v>
      </c>
      <c r="N59" s="27">
        <v>8</v>
      </c>
      <c r="O59" s="27">
        <v>8</v>
      </c>
      <c r="P59" s="27">
        <v>9</v>
      </c>
      <c r="Q59" s="27">
        <v>8</v>
      </c>
      <c r="R59" s="27">
        <v>15</v>
      </c>
      <c r="S59" s="28">
        <v>9</v>
      </c>
      <c r="T59" s="28">
        <v>13</v>
      </c>
      <c r="U59" s="29">
        <v>7</v>
      </c>
      <c r="V59" s="20"/>
      <c r="W59" s="20"/>
      <c r="X59" s="633"/>
    </row>
    <row r="60" spans="1:24" x14ac:dyDescent="0.4">
      <c r="A60" s="33"/>
      <c r="B60" s="23" t="s">
        <v>53</v>
      </c>
      <c r="C60" s="57"/>
      <c r="D60" s="58"/>
      <c r="E60" s="58"/>
      <c r="F60" s="58"/>
      <c r="G60" s="58"/>
      <c r="H60" s="58"/>
      <c r="I60" s="58"/>
      <c r="J60" s="58"/>
      <c r="K60" s="59"/>
      <c r="L60" s="59">
        <v>38</v>
      </c>
      <c r="M60" s="27">
        <v>36</v>
      </c>
      <c r="N60" s="27">
        <v>34</v>
      </c>
      <c r="O60" s="27">
        <v>36</v>
      </c>
      <c r="P60" s="27">
        <v>25</v>
      </c>
      <c r="Q60" s="27">
        <v>30</v>
      </c>
      <c r="R60" s="27">
        <v>11</v>
      </c>
      <c r="S60" s="28">
        <v>37</v>
      </c>
      <c r="T60" s="28">
        <v>25</v>
      </c>
      <c r="U60" s="29">
        <f>6+10+3+1+1+3</f>
        <v>24</v>
      </c>
      <c r="V60" s="20"/>
      <c r="W60" s="20"/>
      <c r="X60" s="633"/>
    </row>
    <row r="61" spans="1:24" x14ac:dyDescent="0.4">
      <c r="A61" s="33"/>
      <c r="B61" s="23" t="s">
        <v>54</v>
      </c>
      <c r="C61" s="57"/>
      <c r="D61" s="58"/>
      <c r="E61" s="58"/>
      <c r="F61" s="58"/>
      <c r="G61" s="58"/>
      <c r="H61" s="58"/>
      <c r="I61" s="58"/>
      <c r="J61" s="58"/>
      <c r="K61" s="59"/>
      <c r="L61" s="59">
        <v>33</v>
      </c>
      <c r="M61" s="27">
        <v>33</v>
      </c>
      <c r="N61" s="27">
        <v>41</v>
      </c>
      <c r="O61" s="27">
        <v>44</v>
      </c>
      <c r="P61" s="27">
        <v>25</v>
      </c>
      <c r="Q61" s="27">
        <v>28</v>
      </c>
      <c r="R61" s="27">
        <v>27</v>
      </c>
      <c r="S61" s="28">
        <v>43</v>
      </c>
      <c r="T61" s="28">
        <v>49</v>
      </c>
      <c r="U61" s="29">
        <v>51</v>
      </c>
      <c r="V61" s="20"/>
      <c r="W61" s="20"/>
      <c r="X61" s="633"/>
    </row>
    <row r="62" spans="1:24" x14ac:dyDescent="0.4">
      <c r="A62" s="33"/>
      <c r="B62" s="23" t="s">
        <v>55</v>
      </c>
      <c r="C62" s="57"/>
      <c r="D62" s="58"/>
      <c r="E62" s="58"/>
      <c r="F62" s="58"/>
      <c r="G62" s="58"/>
      <c r="H62" s="58"/>
      <c r="I62" s="58"/>
      <c r="J62" s="58"/>
      <c r="K62" s="59"/>
      <c r="L62" s="59">
        <v>34</v>
      </c>
      <c r="M62" s="27">
        <v>31</v>
      </c>
      <c r="N62" s="27">
        <v>37</v>
      </c>
      <c r="O62" s="27">
        <v>42</v>
      </c>
      <c r="P62" s="27">
        <v>39</v>
      </c>
      <c r="Q62" s="27">
        <v>37</v>
      </c>
      <c r="R62" s="27">
        <v>27</v>
      </c>
      <c r="S62" s="28">
        <v>35</v>
      </c>
      <c r="T62" s="28">
        <v>31</v>
      </c>
      <c r="U62" s="29">
        <v>33</v>
      </c>
      <c r="V62" s="20"/>
      <c r="W62" s="20"/>
      <c r="X62" s="633"/>
    </row>
    <row r="63" spans="1:24" x14ac:dyDescent="0.4">
      <c r="A63" s="33"/>
      <c r="B63" s="23" t="s">
        <v>56</v>
      </c>
      <c r="C63" s="57"/>
      <c r="D63" s="58"/>
      <c r="E63" s="58"/>
      <c r="F63" s="58"/>
      <c r="G63" s="58"/>
      <c r="H63" s="58"/>
      <c r="I63" s="58"/>
      <c r="J63" s="58"/>
      <c r="K63" s="59"/>
      <c r="L63" s="59">
        <v>60</v>
      </c>
      <c r="M63" s="27">
        <v>58</v>
      </c>
      <c r="N63" s="27">
        <v>46</v>
      </c>
      <c r="O63" s="27">
        <v>47</v>
      </c>
      <c r="P63" s="27">
        <v>40</v>
      </c>
      <c r="Q63" s="27">
        <v>65</v>
      </c>
      <c r="R63" s="27">
        <v>53</v>
      </c>
      <c r="S63" s="28">
        <v>56</v>
      </c>
      <c r="T63" s="28">
        <f>129-T61-T62</f>
        <v>49</v>
      </c>
      <c r="U63" s="29">
        <f>12+2+14+27+13</f>
        <v>68</v>
      </c>
      <c r="V63" s="20"/>
      <c r="W63" s="20"/>
      <c r="X63" s="633"/>
    </row>
    <row r="64" spans="1:24" x14ac:dyDescent="0.4">
      <c r="A64" s="33"/>
      <c r="B64" s="23" t="s">
        <v>57</v>
      </c>
      <c r="C64" s="57"/>
      <c r="D64" s="58"/>
      <c r="E64" s="58"/>
      <c r="F64" s="58"/>
      <c r="G64" s="58"/>
      <c r="H64" s="58"/>
      <c r="I64" s="58"/>
      <c r="J64" s="58"/>
      <c r="K64" s="59"/>
      <c r="L64" s="59">
        <f>75+40</f>
        <v>115</v>
      </c>
      <c r="M64" s="27">
        <f>76+45</f>
        <v>121</v>
      </c>
      <c r="N64" s="27">
        <f>78+39</f>
        <v>117</v>
      </c>
      <c r="O64" s="27">
        <f>106+41</f>
        <v>147</v>
      </c>
      <c r="P64" s="27">
        <f>87+38</f>
        <v>125</v>
      </c>
      <c r="Q64" s="27">
        <f>99+36</f>
        <v>135</v>
      </c>
      <c r="R64" s="27">
        <v>113</v>
      </c>
      <c r="S64" s="28">
        <v>135</v>
      </c>
      <c r="T64" s="28">
        <v>124</v>
      </c>
      <c r="U64" s="29">
        <f>16+75+35</f>
        <v>126</v>
      </c>
      <c r="V64" s="20"/>
      <c r="W64" s="20"/>
      <c r="X64" s="633"/>
    </row>
    <row r="65" spans="1:24" x14ac:dyDescent="0.4">
      <c r="A65" s="33"/>
      <c r="B65" s="23" t="s">
        <v>58</v>
      </c>
      <c r="C65" s="57"/>
      <c r="D65" s="58"/>
      <c r="E65" s="58"/>
      <c r="F65" s="58"/>
      <c r="G65" s="58"/>
      <c r="H65" s="58"/>
      <c r="I65" s="58"/>
      <c r="J65" s="58"/>
      <c r="K65" s="59"/>
      <c r="L65" s="59">
        <v>36</v>
      </c>
      <c r="M65" s="27">
        <v>32</v>
      </c>
      <c r="N65" s="27">
        <v>31</v>
      </c>
      <c r="O65" s="27">
        <v>54</v>
      </c>
      <c r="P65" s="27">
        <v>41</v>
      </c>
      <c r="Q65" s="27">
        <v>46</v>
      </c>
      <c r="R65" s="27">
        <v>45</v>
      </c>
      <c r="S65" s="28">
        <v>48</v>
      </c>
      <c r="T65" s="28">
        <v>49</v>
      </c>
      <c r="U65" s="29">
        <v>55</v>
      </c>
      <c r="V65" s="20"/>
      <c r="W65" s="20"/>
      <c r="X65" s="633"/>
    </row>
    <row r="66" spans="1:24" x14ac:dyDescent="0.4">
      <c r="A66" s="33"/>
      <c r="B66" s="23" t="s">
        <v>59</v>
      </c>
      <c r="C66" s="57"/>
      <c r="D66" s="58"/>
      <c r="E66" s="58"/>
      <c r="F66" s="58"/>
      <c r="G66" s="58"/>
      <c r="H66" s="58"/>
      <c r="I66" s="58"/>
      <c r="J66" s="58"/>
      <c r="K66" s="59"/>
      <c r="L66" s="59">
        <v>48</v>
      </c>
      <c r="M66" s="27">
        <v>23</v>
      </c>
      <c r="N66" s="27">
        <v>28</v>
      </c>
      <c r="O66" s="27">
        <v>46</v>
      </c>
      <c r="P66" s="27">
        <v>30</v>
      </c>
      <c r="Q66" s="27">
        <v>28</v>
      </c>
      <c r="R66" s="27">
        <v>51</v>
      </c>
      <c r="S66" s="28">
        <v>36</v>
      </c>
      <c r="T66" s="28">
        <f>221-T64-T65</f>
        <v>48</v>
      </c>
      <c r="U66" s="29">
        <f>13+8+26+4</f>
        <v>51</v>
      </c>
      <c r="V66" s="20"/>
      <c r="W66" s="20"/>
      <c r="X66" s="633"/>
    </row>
    <row r="67" spans="1:24" x14ac:dyDescent="0.4">
      <c r="A67" s="33"/>
      <c r="B67" s="23" t="s">
        <v>60</v>
      </c>
      <c r="C67" s="57"/>
      <c r="D67" s="58"/>
      <c r="E67" s="58"/>
      <c r="F67" s="58"/>
      <c r="G67" s="58"/>
      <c r="H67" s="58"/>
      <c r="I67" s="58"/>
      <c r="J67" s="58"/>
      <c r="K67" s="59"/>
      <c r="L67" s="59">
        <v>42</v>
      </c>
      <c r="M67" s="27">
        <v>56</v>
      </c>
      <c r="N67" s="27">
        <v>62</v>
      </c>
      <c r="O67" s="27">
        <v>41</v>
      </c>
      <c r="P67" s="27">
        <v>48</v>
      </c>
      <c r="Q67" s="27">
        <f>53+1</f>
        <v>54</v>
      </c>
      <c r="R67" s="27">
        <v>39</v>
      </c>
      <c r="S67" s="28">
        <v>22</v>
      </c>
      <c r="T67" s="28">
        <v>19</v>
      </c>
      <c r="U67" s="29">
        <v>26</v>
      </c>
      <c r="V67" s="20"/>
      <c r="W67" s="20"/>
      <c r="X67" s="633"/>
    </row>
    <row r="68" spans="1:24" x14ac:dyDescent="0.4">
      <c r="A68" s="33"/>
      <c r="B68" s="23"/>
      <c r="C68" s="57"/>
      <c r="D68" s="58"/>
      <c r="E68" s="58"/>
      <c r="F68" s="58"/>
      <c r="G68" s="58"/>
      <c r="H68" s="58"/>
      <c r="I68" s="58"/>
      <c r="J68" s="58"/>
      <c r="K68" s="59"/>
      <c r="L68" s="59"/>
      <c r="M68" s="27"/>
      <c r="N68" s="27"/>
      <c r="O68" s="27"/>
      <c r="P68" s="27"/>
      <c r="Q68" s="27"/>
      <c r="R68" s="27"/>
      <c r="S68" s="28"/>
      <c r="T68" s="28"/>
      <c r="U68" s="29"/>
      <c r="V68" s="20"/>
      <c r="W68" s="20"/>
      <c r="X68" s="633"/>
    </row>
    <row r="69" spans="1:24" x14ac:dyDescent="0.4">
      <c r="A69" s="33"/>
      <c r="B69" s="23" t="s">
        <v>61</v>
      </c>
      <c r="C69" s="57"/>
      <c r="D69" s="58"/>
      <c r="E69" s="58"/>
      <c r="F69" s="58"/>
      <c r="G69" s="58"/>
      <c r="H69" s="58"/>
      <c r="I69" s="58"/>
      <c r="J69" s="58"/>
      <c r="K69" s="59"/>
      <c r="L69" s="59"/>
      <c r="M69" s="27"/>
      <c r="N69" s="27"/>
      <c r="O69" s="27"/>
      <c r="P69" s="27"/>
      <c r="Q69" s="27"/>
      <c r="R69" s="27"/>
      <c r="S69" s="129"/>
      <c r="T69" s="131">
        <f t="shared" ref="L69:T78" si="19">T58/T$47</f>
        <v>1.2135922330097087E-2</v>
      </c>
      <c r="U69" s="132">
        <f t="shared" ref="U69" si="20">U58/U$47</f>
        <v>1.1210762331838564E-2</v>
      </c>
      <c r="V69" s="213"/>
      <c r="W69" s="213"/>
      <c r="X69" s="641"/>
    </row>
    <row r="70" spans="1:24" s="94" customFormat="1" x14ac:dyDescent="0.4">
      <c r="A70" s="86"/>
      <c r="B70" s="87" t="s">
        <v>62</v>
      </c>
      <c r="C70" s="88"/>
      <c r="D70" s="89"/>
      <c r="E70" s="89"/>
      <c r="F70" s="89"/>
      <c r="G70" s="62"/>
      <c r="H70" s="62"/>
      <c r="I70" s="62"/>
      <c r="J70" s="62"/>
      <c r="K70" s="63"/>
      <c r="L70" s="63">
        <f t="shared" si="19"/>
        <v>1.2165450121654502E-2</v>
      </c>
      <c r="M70" s="63">
        <f t="shared" si="19"/>
        <v>1.2658227848101266E-2</v>
      </c>
      <c r="N70" s="63">
        <f t="shared" si="19"/>
        <v>1.9656019656019656E-2</v>
      </c>
      <c r="O70" s="63">
        <f t="shared" si="19"/>
        <v>1.6913319238900635E-2</v>
      </c>
      <c r="P70" s="63">
        <f t="shared" si="19"/>
        <v>2.3316062176165803E-2</v>
      </c>
      <c r="Q70" s="63">
        <f t="shared" si="19"/>
        <v>1.8099547511312219E-2</v>
      </c>
      <c r="R70" s="63">
        <f t="shared" si="19"/>
        <v>3.8860103626943004E-2</v>
      </c>
      <c r="S70" s="131">
        <f t="shared" si="19"/>
        <v>2.1126760563380281E-2</v>
      </c>
      <c r="T70" s="131">
        <f t="shared" si="19"/>
        <v>3.1553398058252427E-2</v>
      </c>
      <c r="U70" s="132">
        <f t="shared" ref="U70" si="21">U59/U$47</f>
        <v>1.5695067264573991E-2</v>
      </c>
      <c r="V70" s="213"/>
      <c r="W70" s="213"/>
      <c r="X70" s="641"/>
    </row>
    <row r="71" spans="1:24" s="94" customFormat="1" x14ac:dyDescent="0.4">
      <c r="A71" s="86"/>
      <c r="B71" s="87" t="s">
        <v>63</v>
      </c>
      <c r="C71" s="88"/>
      <c r="D71" s="89"/>
      <c r="E71" s="89"/>
      <c r="F71" s="89"/>
      <c r="G71" s="62"/>
      <c r="H71" s="62"/>
      <c r="I71" s="62"/>
      <c r="J71" s="62"/>
      <c r="K71" s="63"/>
      <c r="L71" s="63">
        <f t="shared" si="19"/>
        <v>9.2457420924574207E-2</v>
      </c>
      <c r="M71" s="63">
        <f t="shared" si="19"/>
        <v>9.1139240506329114E-2</v>
      </c>
      <c r="N71" s="63">
        <f t="shared" si="19"/>
        <v>8.3538083538083535E-2</v>
      </c>
      <c r="O71" s="63">
        <f t="shared" si="19"/>
        <v>7.6109936575052856E-2</v>
      </c>
      <c r="P71" s="63">
        <f t="shared" si="19"/>
        <v>6.4766839378238336E-2</v>
      </c>
      <c r="Q71" s="63">
        <f t="shared" si="19"/>
        <v>6.7873303167420809E-2</v>
      </c>
      <c r="R71" s="63">
        <f t="shared" si="19"/>
        <v>2.8497409326424871E-2</v>
      </c>
      <c r="S71" s="131">
        <f t="shared" si="19"/>
        <v>8.6854460093896718E-2</v>
      </c>
      <c r="T71" s="131">
        <f t="shared" si="19"/>
        <v>6.0679611650485438E-2</v>
      </c>
      <c r="U71" s="132">
        <f t="shared" ref="U71" si="22">U60/U$47</f>
        <v>5.3811659192825115E-2</v>
      </c>
      <c r="V71" s="213"/>
      <c r="W71" s="213"/>
      <c r="X71" s="641"/>
    </row>
    <row r="72" spans="1:24" s="94" customFormat="1" x14ac:dyDescent="0.4">
      <c r="A72" s="86"/>
      <c r="B72" s="87" t="s">
        <v>64</v>
      </c>
      <c r="C72" s="88"/>
      <c r="D72" s="89"/>
      <c r="E72" s="89"/>
      <c r="F72" s="89"/>
      <c r="G72" s="62"/>
      <c r="H72" s="62"/>
      <c r="I72" s="62"/>
      <c r="J72" s="62"/>
      <c r="K72" s="63"/>
      <c r="L72" s="63">
        <f t="shared" si="19"/>
        <v>8.0291970802919707E-2</v>
      </c>
      <c r="M72" s="63">
        <f t="shared" si="19"/>
        <v>8.3544303797468356E-2</v>
      </c>
      <c r="N72" s="63">
        <f t="shared" si="19"/>
        <v>0.10073710073710074</v>
      </c>
      <c r="O72" s="63">
        <f t="shared" si="19"/>
        <v>9.3023255813953487E-2</v>
      </c>
      <c r="P72" s="63">
        <f t="shared" si="19"/>
        <v>6.4766839378238336E-2</v>
      </c>
      <c r="Q72" s="63">
        <f t="shared" si="19"/>
        <v>6.3348416289592757E-2</v>
      </c>
      <c r="R72" s="63">
        <f t="shared" si="19"/>
        <v>6.9948186528497408E-2</v>
      </c>
      <c r="S72" s="131">
        <f t="shared" si="19"/>
        <v>0.10093896713615023</v>
      </c>
      <c r="T72" s="131">
        <f t="shared" si="19"/>
        <v>0.11893203883495146</v>
      </c>
      <c r="U72" s="132">
        <f t="shared" ref="U72" si="23">U61/U$47</f>
        <v>0.11434977578475336</v>
      </c>
      <c r="V72" s="213"/>
      <c r="W72" s="213"/>
      <c r="X72" s="641"/>
    </row>
    <row r="73" spans="1:24" s="94" customFormat="1" x14ac:dyDescent="0.4">
      <c r="A73" s="86"/>
      <c r="B73" s="87" t="s">
        <v>65</v>
      </c>
      <c r="C73" s="88"/>
      <c r="D73" s="89"/>
      <c r="E73" s="89"/>
      <c r="F73" s="89"/>
      <c r="G73" s="62"/>
      <c r="H73" s="62"/>
      <c r="I73" s="62"/>
      <c r="J73" s="62"/>
      <c r="K73" s="63"/>
      <c r="L73" s="63">
        <f t="shared" si="19"/>
        <v>8.2725060827250604E-2</v>
      </c>
      <c r="M73" s="63">
        <f t="shared" si="19"/>
        <v>7.848101265822785E-2</v>
      </c>
      <c r="N73" s="63">
        <f t="shared" si="19"/>
        <v>9.0909090909090912E-2</v>
      </c>
      <c r="O73" s="63">
        <f t="shared" si="19"/>
        <v>8.8794926004228336E-2</v>
      </c>
      <c r="P73" s="63">
        <f t="shared" si="19"/>
        <v>0.10103626943005181</v>
      </c>
      <c r="Q73" s="63">
        <f t="shared" si="19"/>
        <v>8.3710407239818999E-2</v>
      </c>
      <c r="R73" s="63">
        <f t="shared" si="19"/>
        <v>6.9948186528497408E-2</v>
      </c>
      <c r="S73" s="131">
        <f t="shared" si="19"/>
        <v>8.2159624413145546E-2</v>
      </c>
      <c r="T73" s="131">
        <f t="shared" si="19"/>
        <v>7.5242718446601936E-2</v>
      </c>
      <c r="U73" s="132">
        <f t="shared" ref="U73" si="24">U62/U$47</f>
        <v>7.3991031390134535E-2</v>
      </c>
      <c r="V73" s="213"/>
      <c r="W73" s="213"/>
      <c r="X73" s="641"/>
    </row>
    <row r="74" spans="1:24" s="94" customFormat="1" x14ac:dyDescent="0.4">
      <c r="A74" s="86"/>
      <c r="B74" s="87" t="s">
        <v>66</v>
      </c>
      <c r="C74" s="88"/>
      <c r="D74" s="89"/>
      <c r="E74" s="89"/>
      <c r="F74" s="89"/>
      <c r="G74" s="62"/>
      <c r="H74" s="62"/>
      <c r="I74" s="62"/>
      <c r="J74" s="62"/>
      <c r="K74" s="63"/>
      <c r="L74" s="63">
        <f t="shared" si="19"/>
        <v>0.145985401459854</v>
      </c>
      <c r="M74" s="63">
        <f t="shared" si="19"/>
        <v>0.14683544303797469</v>
      </c>
      <c r="N74" s="63">
        <f t="shared" si="19"/>
        <v>0.11302211302211303</v>
      </c>
      <c r="O74" s="63">
        <f t="shared" si="19"/>
        <v>9.9365750528541227E-2</v>
      </c>
      <c r="P74" s="63">
        <f t="shared" si="19"/>
        <v>0.10362694300518134</v>
      </c>
      <c r="Q74" s="63">
        <f t="shared" si="19"/>
        <v>0.14705882352941177</v>
      </c>
      <c r="R74" s="63">
        <f t="shared" si="19"/>
        <v>0.13730569948186527</v>
      </c>
      <c r="S74" s="131">
        <f t="shared" si="19"/>
        <v>0.13145539906103287</v>
      </c>
      <c r="T74" s="131">
        <f t="shared" si="19"/>
        <v>0.11893203883495146</v>
      </c>
      <c r="U74" s="132">
        <f t="shared" ref="U74" si="25">U63/U$47</f>
        <v>0.15246636771300448</v>
      </c>
      <c r="V74" s="213"/>
      <c r="W74" s="213"/>
      <c r="X74" s="641"/>
    </row>
    <row r="75" spans="1:24" s="94" customFormat="1" x14ac:dyDescent="0.4">
      <c r="A75" s="86"/>
      <c r="B75" s="87" t="s">
        <v>67</v>
      </c>
      <c r="C75" s="88"/>
      <c r="D75" s="89"/>
      <c r="E75" s="89"/>
      <c r="F75" s="89"/>
      <c r="G75" s="62"/>
      <c r="H75" s="62"/>
      <c r="I75" s="62"/>
      <c r="J75" s="62"/>
      <c r="K75" s="63"/>
      <c r="L75" s="63">
        <f t="shared" si="19"/>
        <v>0.27980535279805352</v>
      </c>
      <c r="M75" s="63">
        <f t="shared" si="19"/>
        <v>0.30632911392405066</v>
      </c>
      <c r="N75" s="63">
        <f t="shared" si="19"/>
        <v>0.28746928746928746</v>
      </c>
      <c r="O75" s="63">
        <f t="shared" si="19"/>
        <v>0.31078224101479918</v>
      </c>
      <c r="P75" s="63">
        <f t="shared" si="19"/>
        <v>0.32383419689119169</v>
      </c>
      <c r="Q75" s="63">
        <f t="shared" si="19"/>
        <v>0.30542986425339369</v>
      </c>
      <c r="R75" s="63">
        <f t="shared" si="19"/>
        <v>0.29274611398963729</v>
      </c>
      <c r="S75" s="131">
        <f t="shared" si="19"/>
        <v>0.31690140845070425</v>
      </c>
      <c r="T75" s="131">
        <f t="shared" si="19"/>
        <v>0.30097087378640774</v>
      </c>
      <c r="U75" s="132">
        <f t="shared" ref="U75" si="26">U64/U$47</f>
        <v>0.28251121076233182</v>
      </c>
      <c r="V75" s="213"/>
      <c r="W75" s="213"/>
      <c r="X75" s="641"/>
    </row>
    <row r="76" spans="1:24" s="94" customFormat="1" x14ac:dyDescent="0.4">
      <c r="A76" s="86"/>
      <c r="B76" s="87" t="s">
        <v>68</v>
      </c>
      <c r="C76" s="88"/>
      <c r="D76" s="89"/>
      <c r="E76" s="89"/>
      <c r="F76" s="89"/>
      <c r="G76" s="62"/>
      <c r="H76" s="62"/>
      <c r="I76" s="62"/>
      <c r="J76" s="62"/>
      <c r="K76" s="63"/>
      <c r="L76" s="63">
        <f t="shared" si="19"/>
        <v>8.7591240875912413E-2</v>
      </c>
      <c r="M76" s="63">
        <f t="shared" si="19"/>
        <v>8.1012658227848103E-2</v>
      </c>
      <c r="N76" s="63">
        <f t="shared" si="19"/>
        <v>7.6167076167076173E-2</v>
      </c>
      <c r="O76" s="63">
        <f t="shared" si="19"/>
        <v>0.11416490486257928</v>
      </c>
      <c r="P76" s="63">
        <f t="shared" si="19"/>
        <v>0.10621761658031088</v>
      </c>
      <c r="Q76" s="63">
        <f t="shared" si="19"/>
        <v>0.10407239819004525</v>
      </c>
      <c r="R76" s="63">
        <f t="shared" si="19"/>
        <v>0.11658031088082901</v>
      </c>
      <c r="S76" s="131">
        <f t="shared" si="19"/>
        <v>0.11267605633802817</v>
      </c>
      <c r="T76" s="131">
        <f t="shared" si="19"/>
        <v>0.11893203883495146</v>
      </c>
      <c r="U76" s="132">
        <f t="shared" ref="U76" si="27">U65/U$47</f>
        <v>0.12331838565022421</v>
      </c>
      <c r="V76" s="213"/>
      <c r="W76" s="213"/>
      <c r="X76" s="641"/>
    </row>
    <row r="77" spans="1:24" s="94" customFormat="1" x14ac:dyDescent="0.4">
      <c r="A77" s="86"/>
      <c r="B77" s="87" t="s">
        <v>69</v>
      </c>
      <c r="C77" s="88"/>
      <c r="D77" s="89"/>
      <c r="E77" s="89"/>
      <c r="F77" s="89"/>
      <c r="G77" s="62"/>
      <c r="H77" s="62"/>
      <c r="I77" s="62"/>
      <c r="J77" s="62"/>
      <c r="K77" s="63"/>
      <c r="L77" s="63">
        <f t="shared" si="19"/>
        <v>0.11678832116788321</v>
      </c>
      <c r="M77" s="63">
        <f t="shared" si="19"/>
        <v>5.8227848101265821E-2</v>
      </c>
      <c r="N77" s="63">
        <f t="shared" si="19"/>
        <v>6.8796068796068796E-2</v>
      </c>
      <c r="O77" s="63">
        <f t="shared" si="19"/>
        <v>9.7251585623678652E-2</v>
      </c>
      <c r="P77" s="63">
        <f t="shared" si="19"/>
        <v>7.7720207253886009E-2</v>
      </c>
      <c r="Q77" s="63">
        <f t="shared" si="19"/>
        <v>6.3348416289592757E-2</v>
      </c>
      <c r="R77" s="63">
        <f t="shared" si="19"/>
        <v>0.13212435233160622</v>
      </c>
      <c r="S77" s="131">
        <f t="shared" si="19"/>
        <v>8.4507042253521125E-2</v>
      </c>
      <c r="T77" s="131">
        <f t="shared" si="19"/>
        <v>0.11650485436893204</v>
      </c>
      <c r="U77" s="132">
        <f t="shared" ref="U77" si="28">U66/U$47</f>
        <v>0.11434977578475336</v>
      </c>
      <c r="V77" s="213"/>
      <c r="W77" s="213"/>
      <c r="X77" s="641"/>
    </row>
    <row r="78" spans="1:24" s="94" customFormat="1" ht="13.5" thickBot="1" x14ac:dyDescent="0.45">
      <c r="A78" s="86"/>
      <c r="B78" s="87" t="s">
        <v>70</v>
      </c>
      <c r="C78" s="88"/>
      <c r="D78" s="89"/>
      <c r="E78" s="89"/>
      <c r="F78" s="89"/>
      <c r="G78" s="62"/>
      <c r="H78" s="62"/>
      <c r="I78" s="62"/>
      <c r="J78" s="62"/>
      <c r="K78" s="63"/>
      <c r="L78" s="63">
        <f t="shared" si="19"/>
        <v>0.10218978102189781</v>
      </c>
      <c r="M78" s="63">
        <f t="shared" si="19"/>
        <v>0.14177215189873418</v>
      </c>
      <c r="N78" s="133">
        <f t="shared" si="19"/>
        <v>0.15233415233415235</v>
      </c>
      <c r="O78" s="133">
        <f t="shared" si="19"/>
        <v>8.6680761099365747E-2</v>
      </c>
      <c r="P78" s="133">
        <f t="shared" si="19"/>
        <v>0.12435233160621761</v>
      </c>
      <c r="Q78" s="133">
        <f t="shared" si="19"/>
        <v>0.12217194570135746</v>
      </c>
      <c r="R78" s="133">
        <f t="shared" si="19"/>
        <v>0.10103626943005181</v>
      </c>
      <c r="S78" s="134">
        <f t="shared" si="19"/>
        <v>5.1643192488262914E-2</v>
      </c>
      <c r="T78" s="134">
        <f t="shared" si="19"/>
        <v>4.6116504854368932E-2</v>
      </c>
      <c r="U78" s="135">
        <f t="shared" ref="U78" si="29">U67/U$47</f>
        <v>5.829596412556054E-2</v>
      </c>
      <c r="V78" s="213"/>
      <c r="W78" s="213"/>
      <c r="X78" s="641"/>
    </row>
    <row r="79" spans="1:24" ht="13.5" thickBot="1" x14ac:dyDescent="0.45">
      <c r="A79" s="5"/>
      <c r="B79" s="6"/>
      <c r="C79" s="7" t="s">
        <v>0</v>
      </c>
      <c r="D79" s="7" t="s">
        <v>0</v>
      </c>
      <c r="E79" s="8"/>
      <c r="F79" s="8"/>
      <c r="G79" s="8"/>
      <c r="H79" s="8"/>
      <c r="I79" s="8"/>
      <c r="J79" s="8"/>
      <c r="K79" s="8"/>
      <c r="L79" s="8"/>
      <c r="N79" s="658" t="s">
        <v>1</v>
      </c>
      <c r="O79" s="659"/>
      <c r="P79" s="659"/>
      <c r="Q79" s="659"/>
      <c r="R79" s="659"/>
      <c r="S79" s="659"/>
      <c r="T79" s="660"/>
      <c r="U79" s="547"/>
      <c r="V79" s="20"/>
      <c r="W79" s="20"/>
      <c r="X79" s="633"/>
    </row>
    <row r="80" spans="1:24" ht="13.5" thickBot="1" x14ac:dyDescent="0.45">
      <c r="A80" s="10"/>
      <c r="B80" s="11"/>
      <c r="C80" s="12">
        <v>1996</v>
      </c>
      <c r="D80" s="13">
        <v>1997</v>
      </c>
      <c r="E80" s="13">
        <v>1998</v>
      </c>
      <c r="F80" s="13">
        <v>1999</v>
      </c>
      <c r="G80" s="13">
        <v>2000</v>
      </c>
      <c r="H80" s="13">
        <v>2001</v>
      </c>
      <c r="I80" s="13">
        <v>2002</v>
      </c>
      <c r="J80" s="13">
        <v>2003</v>
      </c>
      <c r="K80" s="14">
        <v>2004</v>
      </c>
      <c r="L80" s="14">
        <v>2005</v>
      </c>
      <c r="M80" s="15">
        <v>2006</v>
      </c>
      <c r="N80" s="16">
        <v>2007</v>
      </c>
      <c r="O80" s="16">
        <v>2008</v>
      </c>
      <c r="P80" s="16">
        <v>2009</v>
      </c>
      <c r="Q80" s="17">
        <v>2010</v>
      </c>
      <c r="R80" s="17">
        <v>2011</v>
      </c>
      <c r="S80" s="17">
        <v>2012</v>
      </c>
      <c r="T80" s="17">
        <v>2013</v>
      </c>
      <c r="U80" s="548"/>
      <c r="V80" s="20"/>
      <c r="W80" s="20"/>
      <c r="X80" s="633"/>
    </row>
    <row r="81" spans="1:25" x14ac:dyDescent="0.4">
      <c r="A81" s="22" t="s">
        <v>71</v>
      </c>
      <c r="B81" s="23"/>
      <c r="C81" s="57"/>
      <c r="D81" s="58"/>
      <c r="E81" s="58"/>
      <c r="F81" s="58"/>
      <c r="G81" s="58"/>
      <c r="H81" s="58"/>
      <c r="I81" s="58"/>
      <c r="J81" s="58"/>
      <c r="K81" s="59"/>
      <c r="L81" s="59"/>
      <c r="M81" s="27"/>
      <c r="N81" s="27"/>
      <c r="O81" s="27"/>
      <c r="P81" s="27"/>
      <c r="Q81" s="27"/>
      <c r="R81" s="27"/>
      <c r="S81" s="28"/>
      <c r="T81" s="29"/>
      <c r="U81" s="548"/>
      <c r="V81" s="20"/>
      <c r="W81" s="20"/>
      <c r="X81" s="633"/>
    </row>
    <row r="82" spans="1:25" s="94" customFormat="1" x14ac:dyDescent="0.4">
      <c r="A82" s="86"/>
      <c r="B82" s="87" t="s">
        <v>72</v>
      </c>
      <c r="C82" s="88"/>
      <c r="D82" s="89"/>
      <c r="E82" s="89"/>
      <c r="F82" s="89"/>
      <c r="G82" s="77"/>
      <c r="H82" s="77"/>
      <c r="I82" s="77"/>
      <c r="J82" s="77"/>
      <c r="K82" s="78"/>
      <c r="L82" s="136">
        <v>25890</v>
      </c>
      <c r="M82" s="137">
        <v>27550</v>
      </c>
      <c r="N82" s="137">
        <v>28920</v>
      </c>
      <c r="O82" s="137">
        <v>30280</v>
      </c>
      <c r="P82" s="137">
        <v>31550</v>
      </c>
      <c r="Q82" s="137">
        <v>32840</v>
      </c>
      <c r="R82" s="137">
        <v>34100</v>
      </c>
      <c r="S82" s="492">
        <v>35790</v>
      </c>
      <c r="T82" s="493">
        <v>37170</v>
      </c>
      <c r="U82" s="617" t="str">
        <f>"Tuition=$37,870; Fees=$760"</f>
        <v>Tuition=$37,870; Fees=$760</v>
      </c>
      <c r="V82" s="617" t="str">
        <f>"Tuition=$39,840; Fees=$760"</f>
        <v>Tuition=$39,840; Fees=$760</v>
      </c>
      <c r="W82" s="617" t="str">
        <f>"Tuition=$41,390; Fees=$780"</f>
        <v>Tuition=$41,390; Fees=$780</v>
      </c>
      <c r="X82" s="642"/>
    </row>
    <row r="83" spans="1:25" s="94" customFormat="1" x14ac:dyDescent="0.4">
      <c r="A83" s="86"/>
      <c r="B83" s="87" t="s">
        <v>73</v>
      </c>
      <c r="C83" s="88"/>
      <c r="D83" s="89"/>
      <c r="E83" s="89"/>
      <c r="F83" s="89"/>
      <c r="G83" s="77"/>
      <c r="H83" s="77"/>
      <c r="I83" s="77"/>
      <c r="J83" s="77"/>
      <c r="K83" s="78"/>
      <c r="L83" s="136">
        <v>7240</v>
      </c>
      <c r="M83" s="137">
        <v>7680</v>
      </c>
      <c r="N83" s="137">
        <v>8040</v>
      </c>
      <c r="O83" s="137">
        <v>8420</v>
      </c>
      <c r="P83" s="137">
        <v>8650</v>
      </c>
      <c r="Q83" s="137">
        <v>8980</v>
      </c>
      <c r="R83" s="137">
        <v>9330</v>
      </c>
      <c r="S83" s="492">
        <v>9800</v>
      </c>
      <c r="T83" s="493">
        <v>10010</v>
      </c>
      <c r="U83" s="617" t="str">
        <f>"Room=$5,700; Board=$5,010"</f>
        <v>Room=$5,700; Board=$5,010</v>
      </c>
      <c r="V83" s="617" t="str">
        <f>"Room=$5,930; Board=$5,210"</f>
        <v>Room=$5,930; Board=$5,210</v>
      </c>
      <c r="W83" s="617" t="str">
        <f>"Room=$6,170; Board=$5,420"</f>
        <v>Room=$6,170; Board=$5,420</v>
      </c>
      <c r="X83" s="642"/>
    </row>
    <row r="84" spans="1:25" s="150" customFormat="1" x14ac:dyDescent="0.4">
      <c r="A84" s="140"/>
      <c r="B84" s="141" t="s">
        <v>74</v>
      </c>
      <c r="C84" s="142"/>
      <c r="D84" s="143"/>
      <c r="E84" s="143"/>
      <c r="F84" s="143"/>
      <c r="G84" s="144"/>
      <c r="H84" s="144"/>
      <c r="I84" s="144"/>
      <c r="J84" s="144"/>
      <c r="K84" s="145"/>
      <c r="L84" s="146">
        <f t="shared" ref="L84:R84" si="30">SUM(L82:L83)</f>
        <v>33130</v>
      </c>
      <c r="M84" s="147">
        <f t="shared" si="30"/>
        <v>35230</v>
      </c>
      <c r="N84" s="147">
        <f t="shared" si="30"/>
        <v>36960</v>
      </c>
      <c r="O84" s="147">
        <f t="shared" si="30"/>
        <v>38700</v>
      </c>
      <c r="P84" s="147">
        <f t="shared" si="30"/>
        <v>40200</v>
      </c>
      <c r="Q84" s="147">
        <f t="shared" si="30"/>
        <v>41820</v>
      </c>
      <c r="R84" s="147">
        <f t="shared" si="30"/>
        <v>43430</v>
      </c>
      <c r="S84" s="148">
        <f>SUM(S82:S83)</f>
        <v>45590</v>
      </c>
      <c r="T84" s="149">
        <v>47180</v>
      </c>
      <c r="U84" s="618">
        <f>37870+5700+5010+760</f>
        <v>49340</v>
      </c>
      <c r="V84" s="618">
        <f>39840+5930+5210+760</f>
        <v>51740</v>
      </c>
      <c r="W84" s="618">
        <f>41390+6170+5420+780</f>
        <v>53760</v>
      </c>
      <c r="X84" s="643"/>
    </row>
    <row r="85" spans="1:25" s="94" customFormat="1" x14ac:dyDescent="0.4">
      <c r="A85" s="86"/>
      <c r="B85" s="87" t="s">
        <v>75</v>
      </c>
      <c r="C85" s="88"/>
      <c r="D85" s="89"/>
      <c r="E85" s="89"/>
      <c r="F85" s="89"/>
      <c r="G85" s="62"/>
      <c r="H85" s="62"/>
      <c r="I85" s="62"/>
      <c r="J85" s="62"/>
      <c r="K85" s="63"/>
      <c r="L85" s="63">
        <v>6.6000000000000003E-2</v>
      </c>
      <c r="M85" s="63">
        <f t="shared" ref="M85:R85" si="31">(M84-L84)/L84</f>
        <v>6.3386658617567163E-2</v>
      </c>
      <c r="N85" s="63">
        <f t="shared" si="31"/>
        <v>4.9105875674141354E-2</v>
      </c>
      <c r="O85" s="63">
        <f t="shared" si="31"/>
        <v>4.707792207792208E-2</v>
      </c>
      <c r="P85" s="63">
        <f t="shared" si="31"/>
        <v>3.875968992248062E-2</v>
      </c>
      <c r="Q85" s="63">
        <f t="shared" si="31"/>
        <v>4.0298507462686567E-2</v>
      </c>
      <c r="R85" s="63">
        <f t="shared" si="31"/>
        <v>3.8498326159732185E-2</v>
      </c>
      <c r="S85" s="131">
        <f>(S84-R84)/R84</f>
        <v>4.9735206078747408E-2</v>
      </c>
      <c r="T85" s="132">
        <f>(T84-S84)/S84</f>
        <v>3.4876069313445932E-2</v>
      </c>
      <c r="U85" s="550">
        <f>(U84-T84)/T84</f>
        <v>4.5782111064010172E-2</v>
      </c>
      <c r="V85" s="213">
        <f>(V84-U84)/U84</f>
        <v>4.8642075395216859E-2</v>
      </c>
      <c r="W85" s="213">
        <f>(W84-V84)/V84</f>
        <v>3.904136064940085E-2</v>
      </c>
      <c r="X85" s="641"/>
    </row>
    <row r="86" spans="1:25" x14ac:dyDescent="0.4">
      <c r="A86" s="33"/>
      <c r="B86" s="23"/>
      <c r="C86" s="57"/>
      <c r="D86" s="58"/>
      <c r="E86" s="58"/>
      <c r="F86" s="58"/>
      <c r="G86" s="58"/>
      <c r="H86" s="58"/>
      <c r="I86" s="58"/>
      <c r="J86" s="58"/>
      <c r="K86" s="59"/>
      <c r="L86" s="59"/>
      <c r="M86" s="27"/>
      <c r="N86" s="27"/>
      <c r="O86" s="27"/>
      <c r="P86" s="27"/>
      <c r="Q86" s="27"/>
      <c r="R86" s="27"/>
      <c r="S86" s="28"/>
      <c r="T86" s="29"/>
      <c r="U86" s="548"/>
      <c r="V86" s="20"/>
      <c r="W86" s="20"/>
      <c r="X86" s="633"/>
    </row>
    <row r="87" spans="1:25" x14ac:dyDescent="0.4">
      <c r="A87" s="22" t="s">
        <v>478</v>
      </c>
      <c r="B87" s="23"/>
      <c r="C87" s="57"/>
      <c r="D87" s="58"/>
      <c r="E87" s="58"/>
      <c r="F87" s="58"/>
      <c r="G87" s="58"/>
      <c r="H87" s="58"/>
      <c r="I87" s="58"/>
      <c r="J87" s="58"/>
      <c r="K87" s="59"/>
      <c r="L87" s="59"/>
      <c r="M87" s="27"/>
      <c r="N87" s="27"/>
      <c r="O87" s="27"/>
      <c r="P87" s="27"/>
      <c r="Q87" s="27"/>
      <c r="R87" s="27"/>
      <c r="S87" s="28"/>
      <c r="T87" s="29"/>
      <c r="U87" s="548"/>
      <c r="V87" s="20"/>
      <c r="W87" s="20"/>
      <c r="X87" s="633"/>
    </row>
    <row r="88" spans="1:25" s="94" customFormat="1" x14ac:dyDescent="0.4">
      <c r="A88" s="86"/>
      <c r="B88" s="87" t="s">
        <v>479</v>
      </c>
      <c r="C88" s="88"/>
      <c r="D88" s="89"/>
      <c r="E88" s="89"/>
      <c r="F88" s="89"/>
      <c r="G88" s="77"/>
      <c r="H88" s="77"/>
      <c r="I88" s="77"/>
      <c r="J88" s="77"/>
      <c r="K88" s="78"/>
      <c r="L88" s="136">
        <v>82787</v>
      </c>
      <c r="M88" s="137">
        <v>99735</v>
      </c>
      <c r="N88" s="137">
        <v>99695</v>
      </c>
      <c r="O88" s="137">
        <v>109754</v>
      </c>
      <c r="P88" s="137">
        <v>104856</v>
      </c>
      <c r="Q88" s="137">
        <v>106530</v>
      </c>
      <c r="R88" s="137">
        <v>108503</v>
      </c>
      <c r="S88" s="492">
        <v>105905</v>
      </c>
      <c r="T88" s="493">
        <v>109497</v>
      </c>
      <c r="U88" s="551"/>
      <c r="V88" s="617"/>
      <c r="W88" s="617">
        <v>117682.32707774799</v>
      </c>
      <c r="X88" s="642">
        <v>88090</v>
      </c>
    </row>
    <row r="89" spans="1:25" s="94" customFormat="1" x14ac:dyDescent="0.4">
      <c r="A89" s="86"/>
      <c r="B89" s="87" t="s">
        <v>76</v>
      </c>
      <c r="C89" s="88"/>
      <c r="D89" s="89"/>
      <c r="E89" s="89"/>
      <c r="F89" s="89"/>
      <c r="G89" s="62"/>
      <c r="H89" s="62"/>
      <c r="I89" s="62"/>
      <c r="J89" s="62"/>
      <c r="K89" s="63"/>
      <c r="L89" s="63">
        <v>0.79900000000000004</v>
      </c>
      <c r="M89" s="63">
        <v>0.69899999999999995</v>
      </c>
      <c r="N89" s="63">
        <v>0.72299999999999998</v>
      </c>
      <c r="O89" s="63">
        <v>0.71299999999999997</v>
      </c>
      <c r="P89" s="63">
        <v>0.7198</v>
      </c>
      <c r="Q89" s="63">
        <f>331/421</f>
        <v>0.78622327790973867</v>
      </c>
      <c r="R89" s="63">
        <f>285/R22</f>
        <v>0.78512396694214881</v>
      </c>
      <c r="S89" s="494">
        <f>318/S22</f>
        <v>0.79104477611940294</v>
      </c>
      <c r="T89" s="151"/>
      <c r="U89" s="549"/>
      <c r="V89" s="534"/>
      <c r="W89" s="534">
        <v>0.79800000000000004</v>
      </c>
      <c r="X89" s="640">
        <v>0.7</v>
      </c>
    </row>
    <row r="90" spans="1:25" s="94" customFormat="1" x14ac:dyDescent="0.4">
      <c r="A90" s="86"/>
      <c r="B90" s="87" t="s">
        <v>480</v>
      </c>
      <c r="C90" s="88"/>
      <c r="D90" s="89"/>
      <c r="E90" s="89"/>
      <c r="F90" s="89"/>
      <c r="G90" s="62"/>
      <c r="H90" s="62"/>
      <c r="I90" s="62"/>
      <c r="J90" s="62"/>
      <c r="K90" s="63"/>
      <c r="L90" s="63">
        <v>0.78600000000000003</v>
      </c>
      <c r="M90" s="63">
        <v>0.85199999999999998</v>
      </c>
      <c r="N90" s="63">
        <v>0.85099999999999998</v>
      </c>
      <c r="O90" s="63">
        <v>0.86699999999999999</v>
      </c>
      <c r="P90" s="63">
        <v>0.86099999999999999</v>
      </c>
      <c r="Q90" s="63">
        <v>0.9</v>
      </c>
      <c r="R90" s="63">
        <v>0.9</v>
      </c>
      <c r="S90" s="494">
        <v>0.92700000000000005</v>
      </c>
      <c r="T90" s="151"/>
      <c r="U90" s="549"/>
      <c r="V90" s="534"/>
      <c r="W90" s="534"/>
      <c r="X90" s="640">
        <v>0.92</v>
      </c>
    </row>
    <row r="91" spans="1:25" s="150" customFormat="1" x14ac:dyDescent="0.4">
      <c r="A91" s="140"/>
      <c r="B91" s="87" t="s">
        <v>481</v>
      </c>
      <c r="C91" s="88"/>
      <c r="D91" s="89"/>
      <c r="E91" s="89"/>
      <c r="F91" s="89"/>
      <c r="G91" s="77"/>
      <c r="H91" s="77"/>
      <c r="I91" s="77"/>
      <c r="J91" s="77"/>
      <c r="K91" s="78"/>
      <c r="L91" s="136">
        <v>15668</v>
      </c>
      <c r="M91" s="137">
        <v>17293</v>
      </c>
      <c r="N91" s="137">
        <v>17666</v>
      </c>
      <c r="O91" s="137">
        <v>18469</v>
      </c>
      <c r="P91" s="137">
        <v>21571</v>
      </c>
      <c r="Q91" s="137">
        <v>21298</v>
      </c>
      <c r="R91" s="137">
        <v>22832</v>
      </c>
      <c r="S91" s="152">
        <v>24589</v>
      </c>
      <c r="T91" s="153"/>
      <c r="U91" s="553"/>
      <c r="V91" s="619"/>
      <c r="W91" s="619">
        <v>32797</v>
      </c>
      <c r="X91" s="644">
        <v>36274</v>
      </c>
      <c r="Y91" s="150" t="s">
        <v>77</v>
      </c>
    </row>
    <row r="92" spans="1:25" s="150" customFormat="1" x14ac:dyDescent="0.4">
      <c r="A92" s="140"/>
      <c r="B92" s="87" t="s">
        <v>482</v>
      </c>
      <c r="C92" s="88"/>
      <c r="D92" s="89"/>
      <c r="E92" s="89"/>
      <c r="F92" s="89"/>
      <c r="G92" s="77"/>
      <c r="H92" s="77"/>
      <c r="I92" s="77"/>
      <c r="J92" s="77"/>
      <c r="K92" s="78"/>
      <c r="L92" s="136">
        <v>12358</v>
      </c>
      <c r="M92" s="137">
        <v>11792</v>
      </c>
      <c r="N92" s="137">
        <v>15414</v>
      </c>
      <c r="O92" s="137">
        <v>16761</v>
      </c>
      <c r="P92" s="137">
        <v>13609</v>
      </c>
      <c r="Q92" s="137">
        <v>14515</v>
      </c>
      <c r="R92" s="137">
        <v>15718</v>
      </c>
      <c r="S92" s="152" t="s">
        <v>78</v>
      </c>
      <c r="T92" s="153"/>
      <c r="U92" s="553"/>
      <c r="V92" s="619"/>
      <c r="W92" s="619">
        <v>23220.975609756097</v>
      </c>
      <c r="X92" s="644">
        <v>19251</v>
      </c>
      <c r="Y92" s="150" t="s">
        <v>77</v>
      </c>
    </row>
    <row r="93" spans="1:25" x14ac:dyDescent="0.4">
      <c r="A93" s="33"/>
      <c r="B93" s="23"/>
      <c r="C93" s="57"/>
      <c r="D93" s="58"/>
      <c r="E93" s="58"/>
      <c r="F93" s="58"/>
      <c r="G93" s="58"/>
      <c r="H93" s="58"/>
      <c r="I93" s="58"/>
      <c r="J93" s="58"/>
      <c r="K93" s="59"/>
      <c r="L93" s="136"/>
      <c r="M93" s="137"/>
      <c r="N93" s="137"/>
      <c r="O93" s="137"/>
      <c r="P93" s="137"/>
      <c r="Q93" s="137"/>
      <c r="R93" s="137"/>
      <c r="S93" s="138"/>
      <c r="T93" s="139"/>
      <c r="U93" s="552"/>
      <c r="V93" s="618"/>
      <c r="W93" s="618"/>
      <c r="X93" s="643"/>
    </row>
    <row r="94" spans="1:25" s="94" customFormat="1" x14ac:dyDescent="0.4">
      <c r="A94" s="86"/>
      <c r="B94" s="87" t="s">
        <v>483</v>
      </c>
      <c r="C94" s="88"/>
      <c r="D94" s="89"/>
      <c r="E94" s="89"/>
      <c r="F94" s="89"/>
      <c r="G94" s="62"/>
      <c r="H94" s="62"/>
      <c r="I94" s="62"/>
      <c r="J94" s="62"/>
      <c r="K94" s="63"/>
      <c r="L94" s="63">
        <v>0.49199999999999999</v>
      </c>
      <c r="M94" s="63">
        <v>0.49</v>
      </c>
      <c r="N94" s="63">
        <v>0.48899999999999999</v>
      </c>
      <c r="O94" s="63">
        <v>0.53200000000000003</v>
      </c>
      <c r="P94" s="63">
        <v>0.55100000000000005</v>
      </c>
      <c r="Q94" s="63">
        <v>0.56699999999999995</v>
      </c>
      <c r="R94" s="63">
        <v>0.57699999999999996</v>
      </c>
      <c r="S94" s="494">
        <v>0.57399999999999995</v>
      </c>
      <c r="T94" s="151"/>
      <c r="U94" s="549">
        <v>0.61699999999999999</v>
      </c>
      <c r="V94" s="534">
        <v>0.60299999999999998</v>
      </c>
      <c r="W94" s="534">
        <v>0.66700000000000004</v>
      </c>
      <c r="X94" s="640">
        <v>0.65600000000000003</v>
      </c>
    </row>
    <row r="95" spans="1:25" s="150" customFormat="1" x14ac:dyDescent="0.4">
      <c r="A95" s="140"/>
      <c r="B95" s="87" t="s">
        <v>484</v>
      </c>
      <c r="C95" s="88"/>
      <c r="D95" s="89"/>
      <c r="E95" s="89"/>
      <c r="F95" s="89"/>
      <c r="G95" s="77"/>
      <c r="H95" s="77"/>
      <c r="I95" s="77"/>
      <c r="J95" s="77"/>
      <c r="K95" s="78"/>
      <c r="L95" s="136">
        <v>20525</v>
      </c>
      <c r="M95" s="154"/>
      <c r="N95" s="154"/>
      <c r="O95" s="154"/>
      <c r="P95" s="154">
        <v>21093</v>
      </c>
      <c r="Q95" s="154">
        <v>21626</v>
      </c>
      <c r="R95" s="154">
        <v>21999</v>
      </c>
      <c r="S95" s="152" t="s">
        <v>79</v>
      </c>
      <c r="T95" s="153"/>
      <c r="U95" s="553"/>
      <c r="V95" s="619"/>
      <c r="W95" s="619"/>
      <c r="X95" s="644"/>
      <c r="Y95" s="94" t="s">
        <v>80</v>
      </c>
    </row>
    <row r="96" spans="1:25" s="150" customFormat="1" x14ac:dyDescent="0.4">
      <c r="A96" s="140"/>
      <c r="B96" s="87" t="s">
        <v>485</v>
      </c>
      <c r="C96" s="88"/>
      <c r="D96" s="89"/>
      <c r="E96" s="89"/>
      <c r="F96" s="89"/>
      <c r="G96" s="77"/>
      <c r="H96" s="77"/>
      <c r="I96" s="77"/>
      <c r="J96" s="77"/>
      <c r="K96" s="78"/>
      <c r="L96" s="136"/>
      <c r="M96" s="154"/>
      <c r="N96" s="154"/>
      <c r="O96" s="154"/>
      <c r="P96" s="154">
        <v>16366</v>
      </c>
      <c r="Q96" s="154">
        <v>16514</v>
      </c>
      <c r="R96" s="154">
        <v>17337</v>
      </c>
      <c r="S96" s="152" t="s">
        <v>81</v>
      </c>
      <c r="T96" s="153"/>
      <c r="U96" s="553"/>
      <c r="V96" s="619"/>
      <c r="W96" s="619"/>
      <c r="X96" s="644"/>
      <c r="Y96" s="94" t="s">
        <v>82</v>
      </c>
    </row>
    <row r="97" spans="1:31" s="150" customFormat="1" x14ac:dyDescent="0.4">
      <c r="A97" s="140"/>
      <c r="B97" s="87" t="s">
        <v>486</v>
      </c>
      <c r="C97" s="88"/>
      <c r="D97" s="89"/>
      <c r="E97" s="89"/>
      <c r="F97" s="89"/>
      <c r="G97" s="77"/>
      <c r="H97" s="77"/>
      <c r="I97" s="77"/>
      <c r="J97" s="77"/>
      <c r="K97" s="78"/>
      <c r="L97" s="136">
        <v>8169650</v>
      </c>
      <c r="M97" s="137">
        <v>8439112</v>
      </c>
      <c r="N97" s="147">
        <v>9194832</v>
      </c>
      <c r="O97" s="147">
        <v>10747203</v>
      </c>
      <c r="P97" s="147">
        <v>8614447</v>
      </c>
      <c r="Q97" s="147">
        <v>10348620</v>
      </c>
      <c r="R97" s="147">
        <v>9171063</v>
      </c>
      <c r="S97" s="155">
        <v>10687690</v>
      </c>
      <c r="T97" s="156"/>
      <c r="U97" s="554"/>
      <c r="V97" s="620"/>
      <c r="W97" s="620"/>
      <c r="X97" s="645"/>
    </row>
    <row r="98" spans="1:31" x14ac:dyDescent="0.4">
      <c r="A98" s="33"/>
      <c r="B98" s="23"/>
      <c r="C98" s="57"/>
      <c r="D98" s="58"/>
      <c r="E98" s="58"/>
      <c r="F98" s="58"/>
      <c r="G98" s="58"/>
      <c r="H98" s="58"/>
      <c r="I98" s="58"/>
      <c r="J98" s="58"/>
      <c r="K98" s="59"/>
      <c r="L98" s="59"/>
      <c r="M98" s="27"/>
      <c r="N98" s="27"/>
      <c r="O98" s="27"/>
      <c r="P98" s="27"/>
      <c r="Q98" s="27"/>
      <c r="R98" s="27"/>
      <c r="S98" s="28"/>
      <c r="T98" s="29"/>
      <c r="U98" s="548"/>
      <c r="V98" s="20"/>
      <c r="W98" s="20"/>
      <c r="X98" s="633"/>
    </row>
    <row r="99" spans="1:31" x14ac:dyDescent="0.4">
      <c r="A99" s="22" t="s">
        <v>83</v>
      </c>
      <c r="B99" s="23"/>
      <c r="C99" s="57"/>
      <c r="D99" s="58"/>
      <c r="E99" s="58"/>
      <c r="F99" s="58"/>
      <c r="G99" s="58"/>
      <c r="H99" s="58"/>
      <c r="I99" s="58"/>
      <c r="J99" s="58"/>
      <c r="K99" s="59"/>
      <c r="L99" s="59"/>
      <c r="M99" s="27"/>
      <c r="N99" s="27"/>
      <c r="O99" s="27"/>
      <c r="P99" s="27"/>
      <c r="Q99" s="27"/>
      <c r="R99" s="27"/>
      <c r="S99" s="28"/>
      <c r="T99" s="29"/>
      <c r="U99" s="548"/>
      <c r="V99" s="20"/>
      <c r="W99" s="20"/>
      <c r="X99" s="633"/>
      <c r="AC99" s="18"/>
      <c r="AD99" s="19"/>
      <c r="AE99" s="18"/>
    </row>
    <row r="100" spans="1:31" x14ac:dyDescent="0.4">
      <c r="A100" s="33"/>
      <c r="B100" s="73" t="s">
        <v>84</v>
      </c>
      <c r="C100" s="67">
        <v>1122</v>
      </c>
      <c r="D100" s="77">
        <v>1196</v>
      </c>
      <c r="E100" s="77">
        <v>1259</v>
      </c>
      <c r="F100" s="77">
        <v>1283</v>
      </c>
      <c r="G100" s="77">
        <v>1297</v>
      </c>
      <c r="H100" s="77">
        <v>1299</v>
      </c>
      <c r="I100" s="77">
        <v>1341</v>
      </c>
      <c r="J100" s="77">
        <v>1382</v>
      </c>
      <c r="K100" s="78">
        <v>1431</v>
      </c>
      <c r="L100" s="78">
        <v>1448</v>
      </c>
      <c r="M100" s="79">
        <v>1436</v>
      </c>
      <c r="N100" s="79">
        <v>1431</v>
      </c>
      <c r="O100" s="79">
        <v>1447</v>
      </c>
      <c r="P100" s="79">
        <v>1464</v>
      </c>
      <c r="Q100" s="79">
        <v>1527</v>
      </c>
      <c r="R100" s="79">
        <v>1530</v>
      </c>
      <c r="S100" s="71">
        <v>1505</v>
      </c>
      <c r="T100" s="72">
        <v>1555</v>
      </c>
      <c r="U100" s="372"/>
      <c r="V100" s="80"/>
      <c r="W100" s="80"/>
      <c r="X100" s="557"/>
      <c r="AC100" s="20"/>
      <c r="AD100" s="30"/>
      <c r="AE100" s="18"/>
    </row>
    <row r="101" spans="1:31" x14ac:dyDescent="0.4">
      <c r="A101" s="33"/>
      <c r="B101" s="73" t="s">
        <v>85</v>
      </c>
      <c r="C101" s="67">
        <v>39</v>
      </c>
      <c r="D101" s="77">
        <v>43</v>
      </c>
      <c r="E101" s="77">
        <v>28</v>
      </c>
      <c r="F101" s="77">
        <v>38</v>
      </c>
      <c r="G101" s="77">
        <v>42</v>
      </c>
      <c r="H101" s="77">
        <v>42</v>
      </c>
      <c r="I101" s="77">
        <v>43</v>
      </c>
      <c r="J101" s="77">
        <v>58</v>
      </c>
      <c r="K101" s="78">
        <v>48</v>
      </c>
      <c r="L101" s="78">
        <v>60</v>
      </c>
      <c r="M101" s="79">
        <v>68</v>
      </c>
      <c r="N101" s="79">
        <v>75</v>
      </c>
      <c r="O101" s="79">
        <v>76</v>
      </c>
      <c r="P101" s="79">
        <v>68</v>
      </c>
      <c r="Q101" s="79">
        <v>66</v>
      </c>
      <c r="R101" s="79">
        <v>89</v>
      </c>
      <c r="S101" s="71">
        <v>53</v>
      </c>
      <c r="T101" s="72">
        <v>70</v>
      </c>
      <c r="U101" s="372"/>
      <c r="V101" s="80"/>
      <c r="W101" s="80"/>
      <c r="X101" s="557"/>
      <c r="Y101" s="2">
        <v>12.33</v>
      </c>
      <c r="Z101" s="2" t="s">
        <v>86</v>
      </c>
      <c r="AC101" s="20"/>
      <c r="AD101" s="30"/>
      <c r="AE101" s="18"/>
    </row>
    <row r="102" spans="1:31" x14ac:dyDescent="0.4">
      <c r="A102" s="33"/>
      <c r="B102" s="73" t="s">
        <v>87</v>
      </c>
      <c r="C102" s="67">
        <f t="shared" ref="C102:N102" si="32">C101+C100</f>
        <v>1161</v>
      </c>
      <c r="D102" s="77">
        <f t="shared" si="32"/>
        <v>1239</v>
      </c>
      <c r="E102" s="77">
        <f t="shared" si="32"/>
        <v>1287</v>
      </c>
      <c r="F102" s="77">
        <f t="shared" si="32"/>
        <v>1321</v>
      </c>
      <c r="G102" s="77">
        <f t="shared" si="32"/>
        <v>1339</v>
      </c>
      <c r="H102" s="77">
        <f t="shared" si="32"/>
        <v>1341</v>
      </c>
      <c r="I102" s="77">
        <f t="shared" si="32"/>
        <v>1384</v>
      </c>
      <c r="J102" s="77">
        <f t="shared" si="32"/>
        <v>1440</v>
      </c>
      <c r="K102" s="78">
        <f t="shared" si="32"/>
        <v>1479</v>
      </c>
      <c r="L102" s="78">
        <f t="shared" si="32"/>
        <v>1508</v>
      </c>
      <c r="M102" s="78">
        <f t="shared" si="32"/>
        <v>1504</v>
      </c>
      <c r="N102" s="78">
        <f t="shared" si="32"/>
        <v>1506</v>
      </c>
      <c r="O102" s="78">
        <f>O100+O101</f>
        <v>1523</v>
      </c>
      <c r="P102" s="78">
        <f>P101+P100</f>
        <v>1532</v>
      </c>
      <c r="Q102" s="78">
        <f>Q101+Q100</f>
        <v>1593</v>
      </c>
      <c r="R102" s="78">
        <f>R101+R100</f>
        <v>1619</v>
      </c>
      <c r="S102" s="69">
        <f>S100+S101</f>
        <v>1558</v>
      </c>
      <c r="T102" s="495">
        <v>1625</v>
      </c>
      <c r="U102" s="372"/>
      <c r="V102" s="80"/>
      <c r="W102" s="80"/>
      <c r="X102" s="557"/>
      <c r="AC102" s="20"/>
      <c r="AD102" s="30"/>
      <c r="AE102" s="18"/>
    </row>
    <row r="103" spans="1:31" x14ac:dyDescent="0.4">
      <c r="A103" s="33"/>
      <c r="B103" s="157" t="s">
        <v>88</v>
      </c>
      <c r="C103" s="158"/>
      <c r="D103" s="159"/>
      <c r="E103" s="159"/>
      <c r="F103" s="159"/>
      <c r="G103" s="159"/>
      <c r="H103" s="159"/>
      <c r="I103" s="159"/>
      <c r="J103" s="159"/>
      <c r="K103" s="160"/>
      <c r="L103" s="160"/>
      <c r="M103" s="161"/>
      <c r="N103" s="161"/>
      <c r="O103" s="161"/>
      <c r="P103" s="161"/>
      <c r="Q103" s="161"/>
      <c r="R103" s="161"/>
      <c r="S103" s="162">
        <v>7</v>
      </c>
      <c r="T103" s="163">
        <v>10</v>
      </c>
      <c r="U103" s="372"/>
      <c r="V103" s="80"/>
      <c r="W103" s="80"/>
      <c r="X103" s="557"/>
      <c r="AC103" s="20"/>
      <c r="AD103" s="30"/>
      <c r="AE103" s="18"/>
    </row>
    <row r="104" spans="1:31" x14ac:dyDescent="0.4">
      <c r="A104" s="33"/>
      <c r="B104" s="157" t="s">
        <v>89</v>
      </c>
      <c r="C104" s="158"/>
      <c r="D104" s="159"/>
      <c r="E104" s="159"/>
      <c r="F104" s="159"/>
      <c r="G104" s="159"/>
      <c r="H104" s="159"/>
      <c r="I104" s="159"/>
      <c r="J104" s="159"/>
      <c r="K104" s="160"/>
      <c r="L104" s="160"/>
      <c r="M104" s="161"/>
      <c r="N104" s="161"/>
      <c r="O104" s="161"/>
      <c r="P104" s="161"/>
      <c r="Q104" s="161"/>
      <c r="R104" s="161"/>
      <c r="S104" s="162"/>
      <c r="T104" s="163"/>
      <c r="U104" s="372"/>
      <c r="V104" s="80"/>
      <c r="W104" s="80"/>
      <c r="X104" s="557"/>
      <c r="AC104" s="20"/>
      <c r="AD104" s="30"/>
      <c r="AE104" s="18"/>
    </row>
    <row r="105" spans="1:31" ht="13.5" thickBot="1" x14ac:dyDescent="0.45">
      <c r="A105" s="164"/>
      <c r="B105" s="165" t="s">
        <v>445</v>
      </c>
      <c r="C105" s="166">
        <v>1136.0999999999999</v>
      </c>
      <c r="D105" s="167">
        <v>1207.5</v>
      </c>
      <c r="E105" s="167">
        <v>1268.0999999999999</v>
      </c>
      <c r="F105" s="167">
        <v>1291.5999999999999</v>
      </c>
      <c r="G105" s="167">
        <v>1311.5</v>
      </c>
      <c r="H105" s="167">
        <v>1315.9</v>
      </c>
      <c r="I105" s="167">
        <v>1357</v>
      </c>
      <c r="J105" s="167">
        <v>1399.7</v>
      </c>
      <c r="K105" s="168">
        <v>1445.9</v>
      </c>
      <c r="L105" s="168">
        <v>1467.3</v>
      </c>
      <c r="M105" s="169">
        <v>1454.5</v>
      </c>
      <c r="N105" s="169">
        <v>1452.7</v>
      </c>
      <c r="O105" s="169">
        <v>1467.7</v>
      </c>
      <c r="P105" s="169">
        <v>1480.5</v>
      </c>
      <c r="Q105" s="169">
        <v>1545.1</v>
      </c>
      <c r="R105" s="169">
        <v>1551.1</v>
      </c>
      <c r="S105" s="496">
        <f>S100+Y101+S103+(S104/2)</f>
        <v>1524.33</v>
      </c>
      <c r="T105" s="497">
        <v>1582.5</v>
      </c>
      <c r="U105" s="555"/>
      <c r="V105" s="621"/>
      <c r="W105" s="621"/>
      <c r="X105" s="646"/>
      <c r="Y105" s="2" t="s">
        <v>90</v>
      </c>
      <c r="AC105" s="20"/>
      <c r="AD105" s="30"/>
      <c r="AE105" s="18"/>
    </row>
    <row r="106" spans="1:31" x14ac:dyDescent="0.4">
      <c r="A106" s="170"/>
      <c r="B106" s="170"/>
      <c r="C106" s="171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80"/>
      <c r="W106" s="80"/>
      <c r="X106" s="557"/>
      <c r="AC106" s="20"/>
      <c r="AD106" s="30"/>
      <c r="AE106" s="18"/>
    </row>
    <row r="107" spans="1:31" x14ac:dyDescent="0.4">
      <c r="A107" s="170"/>
      <c r="B107" s="170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20"/>
      <c r="R107" s="20"/>
      <c r="S107" s="20"/>
      <c r="T107" s="20"/>
      <c r="U107" s="20"/>
      <c r="V107" s="20"/>
      <c r="W107" s="20"/>
      <c r="X107" s="633"/>
      <c r="AC107" s="20"/>
      <c r="AD107" s="30"/>
      <c r="AE107" s="18"/>
    </row>
    <row r="108" spans="1:31" x14ac:dyDescent="0.4">
      <c r="A108" s="170"/>
      <c r="B108" s="170"/>
      <c r="C108" s="171"/>
      <c r="D108" s="171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20"/>
      <c r="R108" s="20"/>
      <c r="S108" s="20"/>
      <c r="T108" s="20"/>
      <c r="U108" s="20"/>
      <c r="V108" s="20"/>
      <c r="W108" s="20"/>
      <c r="X108" s="633"/>
      <c r="AC108" s="20"/>
      <c r="AD108" s="30"/>
      <c r="AE108" s="18"/>
    </row>
    <row r="109" spans="1:31" x14ac:dyDescent="0.4">
      <c r="A109" s="170"/>
      <c r="B109" s="170"/>
      <c r="C109" s="171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20"/>
      <c r="R109" s="20"/>
      <c r="S109" s="20"/>
      <c r="T109" s="20"/>
      <c r="U109" s="20"/>
      <c r="V109" s="20"/>
      <c r="W109" s="20"/>
      <c r="X109" s="633"/>
      <c r="AC109" s="20"/>
      <c r="AD109" s="30"/>
      <c r="AE109" s="18"/>
    </row>
    <row r="110" spans="1:31" x14ac:dyDescent="0.4">
      <c r="A110" s="170"/>
      <c r="B110" s="170"/>
      <c r="C110" s="171"/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20"/>
      <c r="R110" s="20"/>
      <c r="S110" s="20"/>
      <c r="T110" s="20"/>
      <c r="U110" s="20"/>
      <c r="V110" s="20"/>
      <c r="W110" s="20"/>
      <c r="X110" s="633"/>
      <c r="AC110" s="20"/>
      <c r="AD110" s="30"/>
      <c r="AE110" s="18"/>
    </row>
    <row r="111" spans="1:31" x14ac:dyDescent="0.4">
      <c r="A111" s="170"/>
      <c r="B111" s="170"/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20"/>
      <c r="R111" s="20"/>
      <c r="S111" s="20"/>
      <c r="T111" s="20"/>
      <c r="U111" s="20"/>
      <c r="V111" s="20"/>
      <c r="W111" s="20"/>
      <c r="X111" s="633"/>
      <c r="AC111" s="20"/>
      <c r="AD111" s="30"/>
      <c r="AE111" s="18"/>
    </row>
    <row r="112" spans="1:31" x14ac:dyDescent="0.4">
      <c r="A112" s="170"/>
      <c r="B112" s="170"/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20"/>
      <c r="R112" s="20"/>
      <c r="S112" s="20"/>
      <c r="T112" s="20"/>
      <c r="U112" s="20"/>
      <c r="V112" s="20"/>
      <c r="W112" s="20"/>
      <c r="X112" s="633"/>
      <c r="AC112" s="20"/>
      <c r="AD112" s="30"/>
      <c r="AE112" s="18"/>
    </row>
    <row r="113" spans="1:31" x14ac:dyDescent="0.4">
      <c r="A113" s="170"/>
      <c r="B113" s="170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20"/>
      <c r="R113" s="20"/>
      <c r="S113" s="20"/>
      <c r="T113" s="20"/>
      <c r="U113" s="20"/>
      <c r="V113" s="20"/>
      <c r="W113" s="20"/>
      <c r="X113" s="633"/>
      <c r="AC113" s="20"/>
      <c r="AD113" s="30"/>
      <c r="AE113" s="18"/>
    </row>
    <row r="114" spans="1:31" x14ac:dyDescent="0.4">
      <c r="A114" s="170"/>
      <c r="B114" s="170"/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20"/>
      <c r="R114" s="20"/>
      <c r="S114" s="20"/>
      <c r="T114" s="20"/>
      <c r="U114" s="20"/>
      <c r="V114" s="20"/>
      <c r="W114" s="20"/>
      <c r="X114" s="633"/>
      <c r="AC114" s="20"/>
      <c r="AD114" s="30"/>
      <c r="AE114" s="18"/>
    </row>
    <row r="115" spans="1:31" x14ac:dyDescent="0.4">
      <c r="A115" s="170"/>
      <c r="B115" s="170"/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20"/>
      <c r="R115" s="20"/>
      <c r="S115" s="20"/>
      <c r="T115" s="20"/>
      <c r="U115" s="20"/>
      <c r="V115" s="20"/>
      <c r="W115" s="20"/>
      <c r="X115" s="633"/>
      <c r="AC115" s="20"/>
      <c r="AD115" s="30"/>
      <c r="AE115" s="18"/>
    </row>
    <row r="116" spans="1:31" x14ac:dyDescent="0.4">
      <c r="A116" s="170"/>
      <c r="B116" s="170"/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20"/>
      <c r="R116" s="20"/>
      <c r="S116" s="20"/>
      <c r="T116" s="20"/>
      <c r="U116" s="20"/>
      <c r="V116" s="20"/>
      <c r="W116" s="20"/>
      <c r="X116" s="633"/>
      <c r="AC116" s="20"/>
      <c r="AD116" s="30"/>
      <c r="AE116" s="18"/>
    </row>
    <row r="117" spans="1:31" x14ac:dyDescent="0.4">
      <c r="A117" s="170"/>
      <c r="B117" s="170"/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20"/>
      <c r="R117" s="20"/>
      <c r="S117" s="20"/>
      <c r="T117" s="20"/>
      <c r="U117" s="20"/>
      <c r="V117" s="20"/>
      <c r="W117" s="20"/>
      <c r="X117" s="633"/>
      <c r="AC117" s="20"/>
      <c r="AD117" s="30"/>
      <c r="AE117" s="18"/>
    </row>
    <row r="118" spans="1:31" x14ac:dyDescent="0.4">
      <c r="A118" s="170"/>
      <c r="B118" s="170"/>
      <c r="C118" s="171"/>
      <c r="D118" s="171"/>
      <c r="E118" s="171"/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20"/>
      <c r="R118" s="20"/>
      <c r="S118" s="20"/>
      <c r="T118" s="20"/>
      <c r="U118" s="20"/>
      <c r="V118" s="20"/>
      <c r="W118" s="20"/>
      <c r="X118" s="633"/>
      <c r="AC118" s="20"/>
      <c r="AD118" s="30"/>
      <c r="AE118" s="18"/>
    </row>
    <row r="119" spans="1:31" x14ac:dyDescent="0.4">
      <c r="A119" s="170"/>
      <c r="B119" s="170"/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20"/>
      <c r="R119" s="20"/>
      <c r="S119" s="20"/>
      <c r="T119" s="20"/>
      <c r="U119" s="20"/>
      <c r="V119" s="20"/>
      <c r="W119" s="20"/>
      <c r="X119" s="633"/>
      <c r="AC119" s="20"/>
      <c r="AD119" s="30"/>
      <c r="AE119" s="18"/>
    </row>
    <row r="120" spans="1:31" x14ac:dyDescent="0.4">
      <c r="A120" s="170"/>
      <c r="B120" s="170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20"/>
      <c r="R120" s="20"/>
      <c r="S120" s="20"/>
      <c r="T120" s="20"/>
      <c r="U120" s="20"/>
      <c r="V120" s="20"/>
      <c r="W120" s="20"/>
      <c r="X120" s="633"/>
      <c r="AC120" s="20"/>
      <c r="AD120" s="30"/>
      <c r="AE120" s="18"/>
    </row>
    <row r="121" spans="1:31" x14ac:dyDescent="0.4">
      <c r="A121" s="170"/>
      <c r="B121" s="170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20"/>
      <c r="R121" s="20"/>
      <c r="S121" s="20"/>
      <c r="T121" s="20"/>
      <c r="U121" s="20"/>
      <c r="V121" s="20"/>
      <c r="W121" s="20"/>
      <c r="X121" s="633"/>
      <c r="AC121" s="20"/>
      <c r="AD121" s="30"/>
      <c r="AE121" s="18"/>
    </row>
    <row r="122" spans="1:31" x14ac:dyDescent="0.4">
      <c r="A122" s="170"/>
      <c r="B122" s="170"/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20"/>
      <c r="R122" s="20"/>
      <c r="S122" s="20"/>
      <c r="T122" s="20"/>
      <c r="U122" s="20"/>
      <c r="V122" s="20"/>
      <c r="W122" s="20"/>
      <c r="X122" s="633"/>
      <c r="AC122" s="20"/>
      <c r="AD122" s="30"/>
      <c r="AE122" s="18"/>
    </row>
    <row r="123" spans="1:31" x14ac:dyDescent="0.4">
      <c r="A123" s="170"/>
      <c r="B123" s="170"/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20"/>
      <c r="R123" s="20"/>
      <c r="S123" s="20"/>
      <c r="T123" s="20"/>
      <c r="U123" s="20"/>
      <c r="V123" s="20"/>
      <c r="W123" s="20"/>
      <c r="X123" s="633"/>
      <c r="AC123" s="20"/>
      <c r="AD123" s="30"/>
      <c r="AE123" s="18"/>
    </row>
    <row r="124" spans="1:31" x14ac:dyDescent="0.4">
      <c r="A124" s="170"/>
      <c r="B124" s="170"/>
      <c r="C124" s="17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20"/>
      <c r="R124" s="20"/>
      <c r="S124" s="20"/>
      <c r="T124" s="20"/>
      <c r="U124" s="20"/>
      <c r="V124" s="20"/>
      <c r="W124" s="20"/>
      <c r="X124" s="633"/>
      <c r="AC124" s="20"/>
      <c r="AD124" s="30"/>
      <c r="AE124" s="18"/>
    </row>
    <row r="125" spans="1:31" x14ac:dyDescent="0.4">
      <c r="A125" s="170"/>
      <c r="B125" s="170"/>
      <c r="C125" s="171"/>
      <c r="D125" s="171"/>
      <c r="E125" s="171"/>
      <c r="F125" s="171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20"/>
      <c r="R125" s="20"/>
      <c r="S125" s="20"/>
      <c r="T125" s="20"/>
      <c r="U125" s="20"/>
      <c r="V125" s="20"/>
      <c r="W125" s="20"/>
      <c r="X125" s="633"/>
      <c r="AC125" s="20"/>
      <c r="AD125" s="30"/>
      <c r="AE125" s="18"/>
    </row>
    <row r="126" spans="1:31" x14ac:dyDescent="0.4">
      <c r="A126" s="170"/>
      <c r="B126" s="170"/>
      <c r="C126" s="17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20"/>
      <c r="R126" s="20"/>
      <c r="S126" s="20"/>
      <c r="T126" s="20"/>
      <c r="U126" s="20"/>
      <c r="V126" s="20"/>
      <c r="W126" s="20"/>
      <c r="X126" s="633"/>
      <c r="AC126" s="20"/>
      <c r="AD126" s="30"/>
      <c r="AE126" s="18"/>
    </row>
    <row r="127" spans="1:31" x14ac:dyDescent="0.4">
      <c r="A127" s="170"/>
      <c r="B127" s="170"/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20"/>
      <c r="R127" s="20"/>
      <c r="S127" s="20"/>
      <c r="T127" s="20"/>
      <c r="U127" s="20"/>
      <c r="V127" s="20"/>
      <c r="W127" s="20"/>
      <c r="X127" s="633"/>
      <c r="AC127" s="20"/>
      <c r="AD127" s="30"/>
      <c r="AE127" s="18"/>
    </row>
    <row r="128" spans="1:31" x14ac:dyDescent="0.4">
      <c r="A128" s="170"/>
      <c r="B128" s="170"/>
      <c r="C128" s="17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20"/>
      <c r="R128" s="20"/>
      <c r="S128" s="20"/>
      <c r="T128" s="20"/>
      <c r="U128" s="20"/>
      <c r="V128" s="20"/>
      <c r="W128" s="20"/>
      <c r="X128" s="633"/>
      <c r="AC128" s="20"/>
      <c r="AD128" s="30"/>
      <c r="AE128" s="18"/>
    </row>
    <row r="129" spans="1:31" x14ac:dyDescent="0.4">
      <c r="A129" s="170"/>
      <c r="B129" s="170"/>
      <c r="C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20"/>
      <c r="R129" s="20"/>
      <c r="S129" s="20"/>
      <c r="T129" s="20"/>
      <c r="U129" s="20"/>
      <c r="V129" s="20"/>
      <c r="W129" s="20"/>
      <c r="X129" s="633"/>
      <c r="AC129" s="20"/>
      <c r="AD129" s="30"/>
      <c r="AE129" s="18"/>
    </row>
    <row r="130" spans="1:31" x14ac:dyDescent="0.4">
      <c r="A130" s="170"/>
      <c r="B130" s="170"/>
      <c r="C130" s="171"/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20"/>
      <c r="R130" s="20"/>
      <c r="S130" s="20"/>
      <c r="T130" s="20"/>
      <c r="U130" s="20"/>
      <c r="V130" s="20"/>
      <c r="W130" s="20"/>
      <c r="X130" s="633"/>
      <c r="AC130" s="20"/>
      <c r="AD130" s="30"/>
      <c r="AE130" s="18"/>
    </row>
    <row r="131" spans="1:31" x14ac:dyDescent="0.4">
      <c r="A131" s="170"/>
      <c r="B131" s="170"/>
      <c r="C131" s="171"/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20"/>
      <c r="R131" s="20"/>
      <c r="S131" s="20"/>
      <c r="T131" s="20"/>
      <c r="U131" s="20"/>
      <c r="V131" s="20"/>
      <c r="W131" s="20"/>
      <c r="X131" s="633"/>
      <c r="AC131" s="20"/>
      <c r="AD131" s="30"/>
      <c r="AE131" s="18"/>
    </row>
    <row r="132" spans="1:31" x14ac:dyDescent="0.4">
      <c r="A132" s="170"/>
      <c r="B132" s="170"/>
      <c r="C132" s="171"/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20"/>
      <c r="R132" s="20"/>
      <c r="S132" s="20"/>
      <c r="T132" s="20"/>
      <c r="U132" s="20"/>
      <c r="V132" s="20"/>
      <c r="W132" s="20"/>
      <c r="X132" s="633"/>
      <c r="AC132" s="20"/>
      <c r="AD132" s="30"/>
      <c r="AE132" s="18"/>
    </row>
    <row r="133" spans="1:31" x14ac:dyDescent="0.4">
      <c r="A133" s="170"/>
      <c r="B133" s="170"/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20"/>
      <c r="R133" s="20"/>
      <c r="S133" s="20"/>
      <c r="T133" s="20"/>
      <c r="U133" s="20"/>
      <c r="V133" s="20"/>
      <c r="W133" s="20"/>
      <c r="X133" s="633"/>
      <c r="AC133" s="20"/>
      <c r="AD133" s="30"/>
      <c r="AE133" s="18"/>
    </row>
    <row r="134" spans="1:31" x14ac:dyDescent="0.4">
      <c r="A134" s="170"/>
      <c r="B134" s="170"/>
      <c r="C134" s="171"/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20"/>
      <c r="R134" s="20"/>
      <c r="S134" s="20"/>
      <c r="T134" s="20"/>
      <c r="U134" s="20"/>
      <c r="V134" s="20"/>
      <c r="W134" s="20"/>
      <c r="X134" s="633"/>
      <c r="AC134" s="20"/>
      <c r="AD134" s="30"/>
      <c r="AE134" s="18"/>
    </row>
    <row r="135" spans="1:31" x14ac:dyDescent="0.4">
      <c r="A135" s="170"/>
      <c r="B135" s="170"/>
      <c r="C135" s="171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20"/>
      <c r="R135" s="20"/>
      <c r="S135" s="20"/>
      <c r="T135" s="20"/>
      <c r="U135" s="20"/>
      <c r="V135" s="20"/>
      <c r="W135" s="20"/>
      <c r="X135" s="633"/>
      <c r="AC135" s="20"/>
      <c r="AD135" s="30"/>
      <c r="AE135" s="18"/>
    </row>
    <row r="136" spans="1:31" x14ac:dyDescent="0.4">
      <c r="A136" s="170"/>
      <c r="B136" s="170"/>
      <c r="C136" s="171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20"/>
      <c r="R136" s="20"/>
      <c r="S136" s="20"/>
      <c r="T136" s="20"/>
      <c r="U136" s="20"/>
      <c r="V136" s="20"/>
      <c r="W136" s="20"/>
      <c r="X136" s="633"/>
      <c r="AC136" s="18"/>
      <c r="AD136" s="18"/>
      <c r="AE136" s="18"/>
    </row>
    <row r="137" spans="1:31" x14ac:dyDescent="0.4">
      <c r="A137" s="170"/>
      <c r="B137" s="170"/>
      <c r="C137" s="171"/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  <c r="Q137" s="20"/>
      <c r="R137" s="20"/>
      <c r="S137" s="20"/>
      <c r="T137" s="20"/>
      <c r="U137" s="20"/>
      <c r="V137" s="20"/>
      <c r="W137" s="20"/>
      <c r="X137" s="633"/>
      <c r="AC137" s="18"/>
      <c r="AD137" s="18"/>
      <c r="AE137" s="18"/>
    </row>
    <row r="138" spans="1:31" x14ac:dyDescent="0.4">
      <c r="A138" s="170"/>
      <c r="B138" s="170"/>
      <c r="C138" s="171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20"/>
      <c r="R138" s="20"/>
      <c r="S138" s="20"/>
      <c r="T138" s="20"/>
      <c r="U138" s="20"/>
      <c r="V138" s="20"/>
      <c r="W138" s="20"/>
      <c r="X138" s="633"/>
      <c r="AC138" s="18"/>
      <c r="AD138" s="18"/>
      <c r="AE138" s="18"/>
    </row>
    <row r="139" spans="1:31" x14ac:dyDescent="0.4">
      <c r="V139" s="622"/>
      <c r="W139" s="622"/>
      <c r="AC139" s="18"/>
      <c r="AD139" s="19"/>
      <c r="AE139" s="18"/>
    </row>
    <row r="140" spans="1:31" x14ac:dyDescent="0.4">
      <c r="V140" s="622"/>
      <c r="W140" s="622"/>
      <c r="AC140" s="20"/>
      <c r="AD140" s="18"/>
      <c r="AE140" s="18"/>
    </row>
    <row r="141" spans="1:31" x14ac:dyDescent="0.4">
      <c r="V141" s="622"/>
      <c r="W141" s="622"/>
      <c r="AC141" s="20"/>
      <c r="AD141" s="18"/>
      <c r="AE141" s="18"/>
    </row>
    <row r="142" spans="1:31" x14ac:dyDescent="0.4">
      <c r="V142" s="622"/>
      <c r="W142" s="622"/>
      <c r="AC142" s="20"/>
      <c r="AD142" s="18"/>
      <c r="AE142" s="18"/>
    </row>
    <row r="143" spans="1:31" x14ac:dyDescent="0.4">
      <c r="V143" s="622"/>
      <c r="W143" s="622"/>
      <c r="AC143" s="20"/>
      <c r="AD143" s="18"/>
      <c r="AE143" s="18"/>
    </row>
    <row r="144" spans="1:31" x14ac:dyDescent="0.4">
      <c r="V144" s="622"/>
      <c r="W144" s="622"/>
      <c r="AC144" s="20"/>
      <c r="AD144" s="18"/>
      <c r="AE144" s="18"/>
    </row>
    <row r="145" spans="22:31" s="2" customFormat="1" x14ac:dyDescent="0.4">
      <c r="V145" s="194"/>
      <c r="W145" s="194"/>
      <c r="X145" s="437"/>
      <c r="AC145" s="20"/>
      <c r="AD145" s="18"/>
      <c r="AE145" s="18"/>
    </row>
    <row r="146" spans="22:31" s="2" customFormat="1" x14ac:dyDescent="0.4">
      <c r="V146" s="194"/>
      <c r="W146" s="194"/>
      <c r="X146" s="437"/>
      <c r="AC146" s="18"/>
      <c r="AD146" s="18"/>
      <c r="AE146" s="18"/>
    </row>
    <row r="147" spans="22:31" s="2" customFormat="1" x14ac:dyDescent="0.4">
      <c r="V147" s="194"/>
      <c r="W147" s="194"/>
      <c r="X147" s="437"/>
      <c r="AC147" s="18"/>
      <c r="AD147" s="18"/>
      <c r="AE147" s="18"/>
    </row>
    <row r="148" spans="22:31" s="2" customFormat="1" x14ac:dyDescent="0.4">
      <c r="V148" s="194"/>
      <c r="W148" s="194"/>
      <c r="X148" s="437"/>
      <c r="AC148" s="18"/>
      <c r="AD148" s="18"/>
      <c r="AE148" s="18"/>
    </row>
    <row r="149" spans="22:31" s="2" customFormat="1" x14ac:dyDescent="0.4">
      <c r="V149" s="194"/>
      <c r="W149" s="194"/>
      <c r="X149" s="437"/>
      <c r="AC149" s="18"/>
      <c r="AD149" s="18"/>
      <c r="AE149" s="18"/>
    </row>
    <row r="150" spans="22:31" s="2" customFormat="1" x14ac:dyDescent="0.4">
      <c r="V150" s="194"/>
      <c r="W150" s="194"/>
      <c r="X150" s="437"/>
      <c r="AC150" s="18"/>
      <c r="AD150" s="19"/>
      <c r="AE150" s="18"/>
    </row>
    <row r="151" spans="22:31" s="2" customFormat="1" x14ac:dyDescent="0.4">
      <c r="V151" s="194"/>
      <c r="W151" s="194"/>
      <c r="X151" s="437"/>
      <c r="AC151" s="20"/>
      <c r="AD151" s="80"/>
      <c r="AE151" s="18"/>
    </row>
    <row r="152" spans="22:31" s="2" customFormat="1" x14ac:dyDescent="0.4">
      <c r="V152" s="194"/>
      <c r="W152" s="194"/>
      <c r="X152" s="437"/>
      <c r="AC152" s="20"/>
      <c r="AD152" s="80"/>
      <c r="AE152" s="18"/>
    </row>
    <row r="153" spans="22:31" s="2" customFormat="1" x14ac:dyDescent="0.4">
      <c r="V153" s="194"/>
      <c r="W153" s="194"/>
      <c r="X153" s="437"/>
      <c r="AC153" s="20"/>
      <c r="AD153" s="80"/>
      <c r="AE153" s="18"/>
    </row>
    <row r="154" spans="22:31" s="2" customFormat="1" x14ac:dyDescent="0.4">
      <c r="V154" s="194"/>
      <c r="W154" s="194"/>
      <c r="X154" s="437"/>
      <c r="AC154" s="20"/>
      <c r="AD154" s="80"/>
      <c r="AE154" s="18"/>
    </row>
    <row r="155" spans="22:31" s="2" customFormat="1" x14ac:dyDescent="0.4">
      <c r="V155" s="194"/>
      <c r="W155" s="194"/>
      <c r="X155" s="437"/>
      <c r="AC155" s="18"/>
      <c r="AD155" s="18"/>
      <c r="AE155" s="18"/>
    </row>
    <row r="156" spans="22:31" s="2" customFormat="1" x14ac:dyDescent="0.4">
      <c r="V156" s="194"/>
      <c r="W156" s="194"/>
      <c r="X156" s="437"/>
      <c r="AC156" s="18"/>
      <c r="AD156" s="18"/>
      <c r="AE156" s="18"/>
    </row>
    <row r="157" spans="22:31" s="2" customFormat="1" x14ac:dyDescent="0.4">
      <c r="V157" s="194"/>
      <c r="W157" s="194"/>
      <c r="X157" s="437"/>
      <c r="AC157" s="18"/>
      <c r="AD157" s="18"/>
      <c r="AE157" s="18"/>
    </row>
    <row r="158" spans="22:31" s="2" customFormat="1" x14ac:dyDescent="0.4">
      <c r="V158" s="194"/>
      <c r="W158" s="194"/>
      <c r="X158" s="437"/>
      <c r="AC158" s="18"/>
      <c r="AD158" s="18"/>
      <c r="AE158" s="18"/>
    </row>
    <row r="159" spans="22:31" s="2" customFormat="1" x14ac:dyDescent="0.4">
      <c r="V159" s="194"/>
      <c r="W159" s="194"/>
      <c r="X159" s="437"/>
      <c r="AC159" s="18"/>
      <c r="AD159" s="18"/>
      <c r="AE159" s="18"/>
    </row>
    <row r="160" spans="22:31" s="2" customFormat="1" x14ac:dyDescent="0.4">
      <c r="V160" s="194"/>
      <c r="W160" s="194"/>
      <c r="X160" s="437"/>
      <c r="AC160" s="18"/>
      <c r="AD160" s="18"/>
      <c r="AE160" s="18"/>
    </row>
    <row r="161" spans="22:31" s="2" customFormat="1" x14ac:dyDescent="0.4">
      <c r="V161" s="194"/>
      <c r="W161" s="194"/>
      <c r="X161" s="437"/>
      <c r="AC161" s="18"/>
      <c r="AD161" s="18"/>
      <c r="AE161" s="18"/>
    </row>
    <row r="162" spans="22:31" s="2" customFormat="1" x14ac:dyDescent="0.4">
      <c r="V162" s="194"/>
      <c r="W162" s="194"/>
      <c r="X162" s="437"/>
      <c r="AC162" s="18"/>
      <c r="AD162" s="18"/>
      <c r="AE162" s="18"/>
    </row>
    <row r="163" spans="22:31" s="2" customFormat="1" x14ac:dyDescent="0.4">
      <c r="V163" s="194"/>
      <c r="W163" s="194"/>
      <c r="X163" s="437"/>
      <c r="AC163" s="18"/>
      <c r="AD163" s="18"/>
      <c r="AE163" s="18"/>
    </row>
    <row r="164" spans="22:31" s="2" customFormat="1" x14ac:dyDescent="0.4">
      <c r="V164" s="194"/>
      <c r="W164" s="194"/>
      <c r="X164" s="437"/>
      <c r="AC164" s="18"/>
      <c r="AD164" s="18"/>
      <c r="AE164" s="18"/>
    </row>
    <row r="165" spans="22:31" s="2" customFormat="1" x14ac:dyDescent="0.4">
      <c r="V165" s="194"/>
      <c r="W165" s="194"/>
      <c r="X165" s="437"/>
      <c r="AC165" s="18"/>
      <c r="AD165" s="18"/>
      <c r="AE165" s="18"/>
    </row>
    <row r="166" spans="22:31" s="2" customFormat="1" x14ac:dyDescent="0.4">
      <c r="V166" s="194"/>
      <c r="W166" s="194"/>
      <c r="X166" s="437"/>
      <c r="AC166" s="18"/>
      <c r="AD166" s="18"/>
      <c r="AE166" s="18"/>
    </row>
    <row r="167" spans="22:31" s="2" customFormat="1" x14ac:dyDescent="0.4">
      <c r="V167" s="194"/>
      <c r="W167" s="194"/>
      <c r="X167" s="437"/>
      <c r="AC167" s="18"/>
      <c r="AD167" s="18"/>
      <c r="AE167" s="18"/>
    </row>
    <row r="168" spans="22:31" s="2" customFormat="1" x14ac:dyDescent="0.4">
      <c r="V168" s="194"/>
      <c r="W168" s="194"/>
      <c r="X168" s="437"/>
      <c r="AC168" s="18"/>
      <c r="AD168" s="18"/>
      <c r="AE168" s="18"/>
    </row>
    <row r="169" spans="22:31" s="2" customFormat="1" x14ac:dyDescent="0.4">
      <c r="V169" s="194"/>
      <c r="W169" s="194"/>
      <c r="X169" s="437"/>
      <c r="AC169" s="18"/>
      <c r="AD169" s="18"/>
      <c r="AE169" s="18"/>
    </row>
    <row r="170" spans="22:31" s="2" customFormat="1" x14ac:dyDescent="0.4">
      <c r="V170" s="194"/>
      <c r="W170" s="194"/>
      <c r="X170" s="437"/>
      <c r="AC170" s="18"/>
      <c r="AD170" s="18"/>
      <c r="AE170" s="18"/>
    </row>
    <row r="171" spans="22:31" s="2" customFormat="1" x14ac:dyDescent="0.4">
      <c r="V171" s="194"/>
      <c r="W171" s="194"/>
      <c r="X171" s="437"/>
      <c r="AC171" s="18"/>
      <c r="AD171" s="18"/>
      <c r="AE171" s="18"/>
    </row>
    <row r="172" spans="22:31" s="2" customFormat="1" x14ac:dyDescent="0.4">
      <c r="V172" s="194"/>
      <c r="W172" s="194"/>
      <c r="X172" s="437"/>
      <c r="AC172" s="18"/>
      <c r="AD172" s="18"/>
      <c r="AE172" s="18"/>
    </row>
    <row r="173" spans="22:31" s="2" customFormat="1" x14ac:dyDescent="0.4">
      <c r="V173" s="194"/>
      <c r="W173" s="194"/>
      <c r="X173" s="437"/>
      <c r="AC173" s="18"/>
      <c r="AD173" s="18"/>
      <c r="AE173" s="18"/>
    </row>
    <row r="174" spans="22:31" s="2" customFormat="1" x14ac:dyDescent="0.4">
      <c r="V174" s="194"/>
      <c r="W174" s="194"/>
      <c r="X174" s="437"/>
      <c r="AC174" s="18"/>
      <c r="AD174" s="18"/>
      <c r="AE174" s="18"/>
    </row>
    <row r="175" spans="22:31" s="2" customFormat="1" x14ac:dyDescent="0.4">
      <c r="V175" s="194"/>
      <c r="W175" s="194"/>
      <c r="X175" s="437"/>
      <c r="AC175" s="20"/>
      <c r="AD175" s="80"/>
      <c r="AE175" s="18"/>
    </row>
    <row r="176" spans="22:31" s="2" customFormat="1" x14ac:dyDescent="0.4">
      <c r="V176" s="194"/>
      <c r="W176" s="194"/>
      <c r="X176" s="437"/>
      <c r="AC176" s="18"/>
      <c r="AD176" s="18"/>
      <c r="AE176" s="18"/>
    </row>
    <row r="177" spans="22:31" s="2" customFormat="1" x14ac:dyDescent="0.4">
      <c r="V177" s="194"/>
      <c r="W177" s="194"/>
      <c r="X177" s="437"/>
      <c r="AC177" s="18"/>
      <c r="AD177" s="18"/>
      <c r="AE177" s="18"/>
    </row>
    <row r="178" spans="22:31" s="2" customFormat="1" x14ac:dyDescent="0.4">
      <c r="V178" s="194"/>
      <c r="W178" s="194"/>
      <c r="X178" s="437"/>
      <c r="AC178" s="18"/>
      <c r="AD178" s="18"/>
      <c r="AE178" s="18"/>
    </row>
    <row r="179" spans="22:31" s="2" customFormat="1" x14ac:dyDescent="0.4">
      <c r="V179" s="194"/>
      <c r="W179" s="194"/>
      <c r="X179" s="437"/>
      <c r="AC179" s="18"/>
      <c r="AD179" s="18"/>
      <c r="AE179" s="18"/>
    </row>
    <row r="180" spans="22:31" s="2" customFormat="1" x14ac:dyDescent="0.4">
      <c r="V180" s="194"/>
      <c r="W180" s="194"/>
      <c r="X180" s="437"/>
      <c r="AC180" s="18"/>
      <c r="AD180" s="18"/>
      <c r="AE180" s="18"/>
    </row>
    <row r="181" spans="22:31" s="2" customFormat="1" x14ac:dyDescent="0.4">
      <c r="V181" s="194"/>
      <c r="W181" s="194"/>
      <c r="X181" s="437"/>
      <c r="AC181" s="18"/>
      <c r="AD181" s="18"/>
      <c r="AE181" s="18"/>
    </row>
    <row r="182" spans="22:31" x14ac:dyDescent="0.4">
      <c r="V182" s="622"/>
      <c r="W182" s="622"/>
    </row>
    <row r="183" spans="22:31" x14ac:dyDescent="0.4">
      <c r="V183" s="622"/>
      <c r="W183" s="622"/>
    </row>
  </sheetData>
  <mergeCells count="2">
    <mergeCell ref="N79:T79"/>
    <mergeCell ref="N3:X3"/>
  </mergeCells>
  <pageMargins left="0.7" right="0.7" top="0.75" bottom="0.75" header="0.3" footer="0.3"/>
  <pageSetup scale="69" orientation="landscape" r:id="rId1"/>
  <rowBreaks count="3" manualBreakCount="3">
    <brk id="56" max="23" man="1"/>
    <brk id="105" max="19" man="1"/>
    <brk id="174" max="1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407"/>
  <sheetViews>
    <sheetView topLeftCell="A7" workbookViewId="0">
      <selection activeCell="C10" sqref="C10"/>
    </sheetView>
  </sheetViews>
  <sheetFormatPr defaultColWidth="9.1328125" defaultRowHeight="13.15" x14ac:dyDescent="0.4"/>
  <cols>
    <col min="1" max="1" width="9.1328125" style="2"/>
    <col min="2" max="2" width="14.265625" style="2" customWidth="1"/>
    <col min="3" max="3" width="10.265625" style="9" customWidth="1"/>
    <col min="4" max="4" width="9.265625" style="9" customWidth="1"/>
    <col min="5" max="5" width="13.3984375" style="9" customWidth="1"/>
    <col min="6" max="6" width="8.73046875" style="179" customWidth="1"/>
    <col min="7" max="7" width="8.86328125" style="2" customWidth="1"/>
    <col min="8" max="8" width="13.265625" style="2" customWidth="1"/>
    <col min="9" max="9" width="9.73046875" style="2" customWidth="1"/>
    <col min="10" max="10" width="12" style="2" customWidth="1"/>
    <col min="11" max="11" width="8.1328125" style="9" customWidth="1"/>
    <col min="12" max="27" width="9.86328125" style="9" customWidth="1"/>
    <col min="28" max="29" width="9.1328125" style="2" customWidth="1"/>
    <col min="30" max="30" width="15.1328125" style="2" customWidth="1"/>
    <col min="31" max="34" width="5.3984375" style="2" customWidth="1"/>
    <col min="35" max="35" width="3.73046875" style="2" customWidth="1"/>
    <col min="36" max="36" width="9.1328125" style="2" customWidth="1"/>
    <col min="37" max="37" width="2.73046875" style="2" customWidth="1"/>
    <col min="38" max="39" width="9.1328125" style="2" customWidth="1"/>
    <col min="40" max="40" width="4.73046875" style="2" customWidth="1"/>
    <col min="41" max="41" width="5.73046875" style="2" customWidth="1"/>
    <col min="42" max="42" width="8.3984375" style="2" customWidth="1"/>
    <col min="43" max="43" width="8" style="2" customWidth="1"/>
    <col min="44" max="44" width="9.3984375" style="2" bestFit="1" customWidth="1"/>
    <col min="45" max="45" width="3.86328125" style="2" customWidth="1"/>
    <col min="46" max="46" width="8" style="2" customWidth="1"/>
    <col min="47" max="47" width="6" style="2" bestFit="1" customWidth="1"/>
    <col min="48" max="48" width="7.73046875" style="2" customWidth="1"/>
    <col min="49" max="16384" width="9.1328125" style="2"/>
  </cols>
  <sheetData>
    <row r="1" spans="2:28" ht="15.75" x14ac:dyDescent="0.5">
      <c r="B1" s="653" t="s">
        <v>447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</row>
    <row r="2" spans="2:28" ht="15.75" x14ac:dyDescent="0.5">
      <c r="B2" s="653" t="s">
        <v>448</v>
      </c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</row>
    <row r="3" spans="2:28" ht="15.75" x14ac:dyDescent="0.5">
      <c r="C3" s="173"/>
      <c r="D3" s="173"/>
      <c r="E3" s="173"/>
      <c r="F3" s="174"/>
      <c r="G3" s="175"/>
      <c r="H3" s="175"/>
      <c r="I3" s="175"/>
      <c r="J3" s="175"/>
    </row>
    <row r="4" spans="2:28" s="178" customFormat="1" x14ac:dyDescent="0.4">
      <c r="B4" s="176"/>
      <c r="C4" s="176"/>
      <c r="D4" s="176"/>
      <c r="E4" s="176"/>
      <c r="F4" s="176"/>
      <c r="G4" s="176"/>
      <c r="H4" s="176"/>
      <c r="I4" s="176"/>
      <c r="J4" s="177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</row>
    <row r="5" spans="2:28" ht="13.5" thickBot="1" x14ac:dyDescent="0.45"/>
    <row r="6" spans="2:28" ht="14.25" x14ac:dyDescent="0.45">
      <c r="B6" s="498" t="s">
        <v>91</v>
      </c>
      <c r="C6" s="499"/>
      <c r="D6" s="499"/>
      <c r="E6" s="499"/>
      <c r="F6" s="500"/>
      <c r="H6" s="498" t="s">
        <v>92</v>
      </c>
      <c r="I6" s="499"/>
      <c r="J6" s="501"/>
      <c r="K6" s="499"/>
      <c r="L6" s="502"/>
      <c r="M6" s="532"/>
      <c r="N6" s="532"/>
      <c r="O6" s="532"/>
      <c r="P6" s="532"/>
      <c r="Q6" s="532"/>
      <c r="R6" s="532"/>
      <c r="S6" s="532"/>
      <c r="T6" s="532"/>
      <c r="U6" s="532"/>
      <c r="V6" s="532"/>
      <c r="W6" s="532"/>
      <c r="X6" s="532"/>
      <c r="Y6" s="532"/>
      <c r="Z6" s="532"/>
      <c r="AA6" s="532"/>
    </row>
    <row r="7" spans="2:28" x14ac:dyDescent="0.4">
      <c r="B7" s="185" t="s">
        <v>93</v>
      </c>
      <c r="C7" s="186" t="s">
        <v>94</v>
      </c>
      <c r="D7" s="187" t="s">
        <v>95</v>
      </c>
      <c r="E7" s="188" t="s">
        <v>43</v>
      </c>
      <c r="F7" s="189" t="s">
        <v>96</v>
      </c>
      <c r="H7" s="185" t="s">
        <v>93</v>
      </c>
      <c r="I7" s="186" t="s">
        <v>94</v>
      </c>
      <c r="J7" s="187" t="s">
        <v>95</v>
      </c>
      <c r="K7" s="188" t="s">
        <v>43</v>
      </c>
      <c r="L7" s="189" t="s">
        <v>96</v>
      </c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3"/>
      <c r="X7" s="533"/>
      <c r="Y7" s="533"/>
      <c r="Z7" s="533"/>
      <c r="AA7" s="533"/>
    </row>
    <row r="8" spans="2:28" x14ac:dyDescent="0.4">
      <c r="B8" s="190" t="s">
        <v>97</v>
      </c>
      <c r="C8" s="80">
        <v>14</v>
      </c>
      <c r="D8" s="191">
        <v>19</v>
      </c>
      <c r="E8" s="192">
        <f>C8+D8</f>
        <v>33</v>
      </c>
      <c r="F8" s="193">
        <f>E8/E$13</f>
        <v>9.8214285714285712E-2</v>
      </c>
      <c r="G8" s="194"/>
      <c r="H8" s="190" t="s">
        <v>97</v>
      </c>
      <c r="I8" s="80">
        <v>9</v>
      </c>
      <c r="J8" s="191">
        <v>10</v>
      </c>
      <c r="K8" s="192">
        <f>I8+J8</f>
        <v>19</v>
      </c>
      <c r="L8" s="193">
        <f>K8/K$13</f>
        <v>5.6547619047619048E-2</v>
      </c>
      <c r="M8" s="534"/>
      <c r="N8" s="534"/>
      <c r="O8" s="534"/>
      <c r="P8" s="534"/>
      <c r="Q8" s="534"/>
      <c r="R8" s="534"/>
      <c r="S8" s="534"/>
      <c r="T8" s="534"/>
      <c r="U8" s="534"/>
      <c r="V8" s="534"/>
      <c r="W8" s="534"/>
      <c r="X8" s="534"/>
      <c r="Y8" s="534"/>
      <c r="Z8" s="534"/>
      <c r="AA8" s="534"/>
    </row>
    <row r="9" spans="2:28" x14ac:dyDescent="0.4">
      <c r="B9" s="190" t="s">
        <v>98</v>
      </c>
      <c r="C9" s="80">
        <v>37</v>
      </c>
      <c r="D9" s="191">
        <v>66</v>
      </c>
      <c r="E9" s="192">
        <f>C9+D9</f>
        <v>103</v>
      </c>
      <c r="F9" s="193">
        <f>E9/E$13</f>
        <v>0.30654761904761907</v>
      </c>
      <c r="G9" s="195"/>
      <c r="H9" s="190" t="s">
        <v>98</v>
      </c>
      <c r="I9" s="80">
        <v>48</v>
      </c>
      <c r="J9" s="191">
        <v>59</v>
      </c>
      <c r="K9" s="192">
        <f>I9+J9</f>
        <v>107</v>
      </c>
      <c r="L9" s="193">
        <f>K9/K$13</f>
        <v>0.31845238095238093</v>
      </c>
      <c r="M9" s="534"/>
      <c r="N9" s="534"/>
      <c r="O9" s="534"/>
      <c r="P9" s="534"/>
      <c r="Q9" s="534"/>
      <c r="R9" s="534"/>
      <c r="S9" s="534"/>
      <c r="T9" s="534"/>
      <c r="U9" s="534"/>
      <c r="V9" s="534"/>
      <c r="W9" s="534"/>
      <c r="X9" s="534"/>
      <c r="Y9" s="534"/>
      <c r="Z9" s="534"/>
      <c r="AA9" s="534"/>
      <c r="AB9" s="195">
        <f>(K8+K9)/K13</f>
        <v>0.375</v>
      </c>
    </row>
    <row r="10" spans="2:28" x14ac:dyDescent="0.4">
      <c r="B10" s="190" t="s">
        <v>99</v>
      </c>
      <c r="C10" s="80">
        <v>82</v>
      </c>
      <c r="D10" s="191">
        <v>68</v>
      </c>
      <c r="E10" s="192">
        <f>C10+D10</f>
        <v>150</v>
      </c>
      <c r="F10" s="193">
        <f>E10/E$13</f>
        <v>0.44642857142857145</v>
      </c>
      <c r="G10" s="194"/>
      <c r="H10" s="190" t="s">
        <v>99</v>
      </c>
      <c r="I10" s="80">
        <v>85</v>
      </c>
      <c r="J10" s="191">
        <v>77</v>
      </c>
      <c r="K10" s="192">
        <f>I10+J10</f>
        <v>162</v>
      </c>
      <c r="L10" s="193">
        <f>K10/K$13</f>
        <v>0.48214285714285715</v>
      </c>
      <c r="M10" s="534"/>
      <c r="N10" s="534"/>
      <c r="O10" s="534"/>
      <c r="P10" s="534"/>
      <c r="Q10" s="534"/>
      <c r="R10" s="534"/>
      <c r="S10" s="534"/>
      <c r="T10" s="534"/>
      <c r="U10" s="534"/>
      <c r="V10" s="534"/>
      <c r="W10" s="534"/>
      <c r="X10" s="534"/>
      <c r="Y10" s="534"/>
      <c r="Z10" s="534"/>
      <c r="AA10" s="534"/>
      <c r="AB10" s="179"/>
    </row>
    <row r="11" spans="2:28" x14ac:dyDescent="0.4">
      <c r="B11" s="190" t="s">
        <v>100</v>
      </c>
      <c r="C11" s="80">
        <v>25</v>
      </c>
      <c r="D11" s="191">
        <v>20</v>
      </c>
      <c r="E11" s="192">
        <f>C11+D11</f>
        <v>45</v>
      </c>
      <c r="F11" s="193">
        <f>E11/E$13</f>
        <v>0.13392857142857142</v>
      </c>
      <c r="G11" s="194"/>
      <c r="H11" s="190" t="s">
        <v>100</v>
      </c>
      <c r="I11" s="80">
        <v>20</v>
      </c>
      <c r="J11" s="191">
        <v>24</v>
      </c>
      <c r="K11" s="192">
        <f>I11+J11</f>
        <v>44</v>
      </c>
      <c r="L11" s="193">
        <f>K11/K$13</f>
        <v>0.13095238095238096</v>
      </c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4"/>
      <c r="Y11" s="534"/>
      <c r="Z11" s="534"/>
      <c r="AA11" s="534"/>
      <c r="AB11" s="179"/>
    </row>
    <row r="12" spans="2:28" x14ac:dyDescent="0.4">
      <c r="B12" s="196" t="s">
        <v>101</v>
      </c>
      <c r="C12" s="197">
        <v>4</v>
      </c>
      <c r="D12" s="198">
        <v>1</v>
      </c>
      <c r="E12" s="199">
        <f>C12+D12</f>
        <v>5</v>
      </c>
      <c r="F12" s="200">
        <f>E12/E$13</f>
        <v>1.488095238095238E-2</v>
      </c>
      <c r="G12" s="194"/>
      <c r="H12" s="196" t="s">
        <v>101</v>
      </c>
      <c r="I12" s="197">
        <v>0</v>
      </c>
      <c r="J12" s="198">
        <v>4</v>
      </c>
      <c r="K12" s="199">
        <f>I12+J12</f>
        <v>4</v>
      </c>
      <c r="L12" s="200">
        <f>K12/K$13</f>
        <v>1.1904761904761904E-2</v>
      </c>
      <c r="M12" s="534"/>
      <c r="N12" s="534"/>
      <c r="O12" s="534"/>
      <c r="P12" s="534"/>
      <c r="Q12" s="534"/>
      <c r="R12" s="534"/>
      <c r="S12" s="534"/>
      <c r="T12" s="534"/>
      <c r="U12" s="534"/>
      <c r="V12" s="534"/>
      <c r="W12" s="534"/>
      <c r="X12" s="534"/>
      <c r="Y12" s="534"/>
      <c r="Z12" s="534"/>
      <c r="AA12" s="534"/>
    </row>
    <row r="13" spans="2:28" x14ac:dyDescent="0.4">
      <c r="B13" s="201" t="s">
        <v>102</v>
      </c>
      <c r="C13" s="80">
        <f>SUM(C8:C12)</f>
        <v>162</v>
      </c>
      <c r="D13" s="191">
        <f>SUM(D8:D12)</f>
        <v>174</v>
      </c>
      <c r="E13" s="192">
        <f>SUM(E8:E12)</f>
        <v>336</v>
      </c>
      <c r="F13" s="202">
        <f>SUM(F8:F12)</f>
        <v>1</v>
      </c>
      <c r="G13" s="194"/>
      <c r="H13" s="201" t="s">
        <v>102</v>
      </c>
      <c r="I13" s="80">
        <f>SUM(I8:I12)</f>
        <v>162</v>
      </c>
      <c r="J13" s="191">
        <f>SUM(J8:J12)</f>
        <v>174</v>
      </c>
      <c r="K13" s="192">
        <f>SUM(K8:K12)</f>
        <v>336</v>
      </c>
      <c r="L13" s="202">
        <f>SUM(L8:L12)</f>
        <v>1</v>
      </c>
      <c r="M13" s="533"/>
      <c r="N13" s="533"/>
      <c r="O13" s="533"/>
      <c r="P13" s="533"/>
      <c r="Q13" s="533"/>
      <c r="R13" s="533"/>
      <c r="S13" s="533"/>
      <c r="T13" s="533"/>
      <c r="U13" s="533"/>
      <c r="V13" s="533"/>
      <c r="W13" s="533"/>
      <c r="X13" s="533"/>
      <c r="Y13" s="533"/>
      <c r="Z13" s="533"/>
      <c r="AA13" s="533"/>
    </row>
    <row r="14" spans="2:28" x14ac:dyDescent="0.4">
      <c r="B14" s="201"/>
      <c r="C14" s="80"/>
      <c r="D14" s="191"/>
      <c r="E14" s="192"/>
      <c r="F14" s="202"/>
      <c r="G14" s="194"/>
      <c r="H14" s="201"/>
      <c r="I14" s="80"/>
      <c r="J14" s="191"/>
      <c r="K14" s="192"/>
      <c r="L14" s="202"/>
      <c r="M14" s="533"/>
      <c r="N14" s="533"/>
      <c r="O14" s="533"/>
      <c r="P14" s="533"/>
      <c r="Q14" s="533"/>
      <c r="R14" s="533"/>
      <c r="S14" s="533"/>
      <c r="T14" s="533"/>
      <c r="U14" s="533"/>
      <c r="V14" s="533"/>
      <c r="W14" s="533"/>
      <c r="X14" s="533"/>
      <c r="Y14" s="533"/>
      <c r="Z14" s="533"/>
      <c r="AA14" s="533"/>
    </row>
    <row r="15" spans="2:28" x14ac:dyDescent="0.4">
      <c r="B15" s="201" t="s">
        <v>103</v>
      </c>
      <c r="C15" s="80">
        <v>47</v>
      </c>
      <c r="D15" s="191">
        <v>40</v>
      </c>
      <c r="E15" s="192">
        <f>C15+D15</f>
        <v>87</v>
      </c>
      <c r="F15" s="202"/>
      <c r="G15" s="194"/>
      <c r="H15" s="201" t="s">
        <v>103</v>
      </c>
      <c r="I15" s="80">
        <v>47</v>
      </c>
      <c r="J15" s="191">
        <v>40</v>
      </c>
      <c r="K15" s="192">
        <f>I15+J15</f>
        <v>87</v>
      </c>
      <c r="L15" s="202"/>
      <c r="M15" s="533"/>
      <c r="N15" s="533"/>
      <c r="O15" s="533"/>
      <c r="P15" s="533"/>
      <c r="Q15" s="533"/>
      <c r="R15" s="533"/>
      <c r="S15" s="533"/>
      <c r="T15" s="533"/>
      <c r="U15" s="533"/>
      <c r="V15" s="533"/>
      <c r="W15" s="533"/>
      <c r="X15" s="533"/>
      <c r="Y15" s="533"/>
      <c r="Z15" s="533"/>
      <c r="AA15" s="533"/>
    </row>
    <row r="16" spans="2:28" x14ac:dyDescent="0.4">
      <c r="B16" s="201"/>
      <c r="C16" s="80"/>
      <c r="D16" s="191"/>
      <c r="E16" s="192"/>
      <c r="F16" s="202"/>
      <c r="G16" s="194"/>
      <c r="H16" s="201"/>
      <c r="I16" s="80"/>
      <c r="J16" s="191"/>
      <c r="K16" s="192"/>
      <c r="L16" s="202"/>
      <c r="M16" s="533"/>
      <c r="N16" s="533"/>
      <c r="O16" s="533"/>
      <c r="P16" s="533"/>
      <c r="Q16" s="533"/>
      <c r="R16" s="533"/>
      <c r="S16" s="533"/>
      <c r="T16" s="533"/>
      <c r="U16" s="533"/>
      <c r="V16" s="533"/>
      <c r="W16" s="533"/>
      <c r="X16" s="533"/>
      <c r="Y16" s="533"/>
      <c r="Z16" s="533"/>
      <c r="AA16" s="533"/>
    </row>
    <row r="17" spans="2:48" x14ac:dyDescent="0.4">
      <c r="B17" s="203" t="s">
        <v>104</v>
      </c>
      <c r="C17" s="80">
        <v>610</v>
      </c>
      <c r="D17" s="191">
        <v>630</v>
      </c>
      <c r="E17" s="204">
        <v>630</v>
      </c>
      <c r="F17" s="202"/>
      <c r="G17" s="194"/>
      <c r="H17" s="203" t="s">
        <v>104</v>
      </c>
      <c r="I17" s="80">
        <v>620</v>
      </c>
      <c r="J17" s="191">
        <v>620</v>
      </c>
      <c r="K17" s="204">
        <v>620</v>
      </c>
      <c r="L17" s="202"/>
      <c r="M17" s="533"/>
      <c r="N17" s="533"/>
      <c r="O17" s="533"/>
      <c r="P17" s="533"/>
      <c r="Q17" s="533"/>
      <c r="R17" s="533"/>
      <c r="S17" s="533"/>
      <c r="T17" s="533"/>
      <c r="U17" s="533"/>
      <c r="V17" s="533"/>
      <c r="W17" s="533"/>
      <c r="X17" s="533"/>
      <c r="Y17" s="533"/>
      <c r="Z17" s="533"/>
      <c r="AA17" s="533"/>
    </row>
    <row r="18" spans="2:48" x14ac:dyDescent="0.4">
      <c r="B18" s="203" t="s">
        <v>105</v>
      </c>
      <c r="C18" s="80">
        <v>520</v>
      </c>
      <c r="D18" s="191">
        <v>530</v>
      </c>
      <c r="E18" s="204">
        <v>520</v>
      </c>
      <c r="F18" s="202"/>
      <c r="G18" s="194"/>
      <c r="H18" s="203" t="s">
        <v>105</v>
      </c>
      <c r="I18" s="80">
        <v>520</v>
      </c>
      <c r="J18" s="191">
        <v>520</v>
      </c>
      <c r="K18" s="204">
        <v>520</v>
      </c>
      <c r="L18" s="202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</row>
    <row r="19" spans="2:48" x14ac:dyDescent="0.4">
      <c r="B19" s="201"/>
      <c r="C19" s="80"/>
      <c r="D19" s="191"/>
      <c r="E19" s="192"/>
      <c r="F19" s="202"/>
      <c r="G19" s="194"/>
      <c r="H19" s="201"/>
      <c r="I19" s="80"/>
      <c r="J19" s="191"/>
      <c r="K19" s="192"/>
      <c r="L19" s="202"/>
      <c r="M19" s="533"/>
      <c r="N19" s="533"/>
      <c r="O19" s="533"/>
      <c r="P19" s="533"/>
      <c r="Q19" s="533"/>
      <c r="R19" s="533"/>
      <c r="S19" s="533"/>
      <c r="T19" s="533"/>
      <c r="U19" s="533"/>
      <c r="V19" s="533"/>
      <c r="W19" s="533"/>
      <c r="X19" s="533"/>
      <c r="Y19" s="533"/>
      <c r="Z19" s="533"/>
      <c r="AA19" s="533"/>
    </row>
    <row r="20" spans="2:48" x14ac:dyDescent="0.4">
      <c r="B20" s="190" t="s">
        <v>106</v>
      </c>
      <c r="C20" s="205">
        <v>566</v>
      </c>
      <c r="D20" s="206">
        <v>586</v>
      </c>
      <c r="E20" s="207">
        <v>576</v>
      </c>
      <c r="F20" s="202"/>
      <c r="G20" s="194"/>
      <c r="H20" s="190" t="s">
        <v>107</v>
      </c>
      <c r="I20" s="205">
        <v>575</v>
      </c>
      <c r="J20" s="206">
        <v>573</v>
      </c>
      <c r="K20" s="207">
        <v>574</v>
      </c>
      <c r="L20" s="202"/>
      <c r="M20" s="533"/>
      <c r="N20" s="533"/>
      <c r="O20" s="533"/>
      <c r="P20" s="533"/>
      <c r="Q20" s="533"/>
      <c r="R20" s="533"/>
      <c r="S20" s="533"/>
      <c r="T20" s="533"/>
      <c r="U20" s="533"/>
      <c r="V20" s="533"/>
      <c r="W20" s="533"/>
      <c r="X20" s="533"/>
      <c r="Y20" s="533"/>
      <c r="Z20" s="533"/>
      <c r="AA20" s="533"/>
    </row>
    <row r="21" spans="2:48" ht="13.5" thickBot="1" x14ac:dyDescent="0.45">
      <c r="B21" s="208" t="s">
        <v>108</v>
      </c>
      <c r="C21" s="209">
        <v>560</v>
      </c>
      <c r="D21" s="210">
        <v>590</v>
      </c>
      <c r="E21" s="211">
        <v>570</v>
      </c>
      <c r="F21" s="212"/>
      <c r="G21" s="194"/>
      <c r="H21" s="208" t="s">
        <v>108</v>
      </c>
      <c r="I21" s="209">
        <v>565</v>
      </c>
      <c r="J21" s="210">
        <v>570</v>
      </c>
      <c r="K21" s="211">
        <v>570</v>
      </c>
      <c r="L21" s="212"/>
      <c r="M21" s="533"/>
      <c r="N21" s="533"/>
      <c r="O21" s="533"/>
      <c r="P21" s="533"/>
      <c r="Q21" s="533"/>
      <c r="R21" s="533"/>
      <c r="S21" s="533"/>
      <c r="T21" s="533"/>
      <c r="U21" s="533"/>
      <c r="V21" s="533"/>
      <c r="W21" s="533"/>
      <c r="X21" s="533"/>
      <c r="Y21" s="533"/>
      <c r="Z21" s="533"/>
      <c r="AA21" s="533"/>
    </row>
    <row r="22" spans="2:48" s="194" customFormat="1" ht="9" customHeight="1" thickBot="1" x14ac:dyDescent="0.45">
      <c r="B22" s="18"/>
      <c r="C22" s="80"/>
      <c r="D22" s="80"/>
      <c r="E22" s="80"/>
      <c r="F22" s="213"/>
      <c r="H22" s="18"/>
      <c r="I22" s="80"/>
      <c r="J22" s="80"/>
      <c r="K22" s="80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</row>
    <row r="23" spans="2:48" x14ac:dyDescent="0.4">
      <c r="C23" s="503" t="s">
        <v>109</v>
      </c>
      <c r="D23" s="504"/>
      <c r="E23" s="505"/>
      <c r="F23" s="506"/>
      <c r="G23" s="510"/>
      <c r="H23" s="504"/>
      <c r="I23" s="504"/>
      <c r="J23" s="504"/>
      <c r="K23" s="511"/>
    </row>
    <row r="24" spans="2:48" x14ac:dyDescent="0.4">
      <c r="C24" s="220"/>
      <c r="D24" s="221" t="s">
        <v>110</v>
      </c>
      <c r="E24" s="222" t="s">
        <v>111</v>
      </c>
      <c r="F24" s="223" t="s">
        <v>43</v>
      </c>
      <c r="G24" s="224"/>
      <c r="H24" s="225"/>
      <c r="I24" s="226" t="s">
        <v>110</v>
      </c>
      <c r="J24" s="227" t="s">
        <v>111</v>
      </c>
      <c r="K24" s="228" t="s">
        <v>43</v>
      </c>
      <c r="AE24" s="2" t="s">
        <v>112</v>
      </c>
      <c r="AO24" s="2" t="s">
        <v>113</v>
      </c>
    </row>
    <row r="25" spans="2:48" ht="12.75" customHeight="1" x14ac:dyDescent="0.4">
      <c r="C25" s="229" t="s">
        <v>114</v>
      </c>
      <c r="D25" s="230">
        <v>1141</v>
      </c>
      <c r="E25" s="231">
        <v>1158</v>
      </c>
      <c r="F25" s="206">
        <v>1150</v>
      </c>
      <c r="G25" s="233"/>
      <c r="H25" s="233" t="s">
        <v>115</v>
      </c>
      <c r="I25" s="80">
        <v>1220</v>
      </c>
      <c r="J25" s="191">
        <v>1250</v>
      </c>
      <c r="K25" s="129">
        <v>1230</v>
      </c>
      <c r="AD25" s="234" t="s">
        <v>116</v>
      </c>
      <c r="AE25" s="234" t="s">
        <v>117</v>
      </c>
      <c r="AF25" s="234" t="s">
        <v>118</v>
      </c>
      <c r="AG25" s="234" t="s">
        <v>119</v>
      </c>
      <c r="AH25" s="234" t="s">
        <v>120</v>
      </c>
      <c r="AJ25" s="235" t="s">
        <v>121</v>
      </c>
      <c r="AK25" s="235"/>
      <c r="AL25" s="235" t="s">
        <v>122</v>
      </c>
      <c r="AN25" s="234" t="s">
        <v>116</v>
      </c>
      <c r="AO25" s="234" t="s">
        <v>123</v>
      </c>
      <c r="AP25" s="234" t="s">
        <v>118</v>
      </c>
      <c r="AQ25" s="234" t="s">
        <v>119</v>
      </c>
      <c r="AR25" s="234" t="s">
        <v>120</v>
      </c>
      <c r="AT25" s="235" t="s">
        <v>124</v>
      </c>
    </row>
    <row r="26" spans="2:48" ht="13.5" thickBot="1" x14ac:dyDescent="0.45">
      <c r="C26" s="236" t="s">
        <v>125</v>
      </c>
      <c r="D26" s="237">
        <v>1120</v>
      </c>
      <c r="E26" s="210">
        <v>1170</v>
      </c>
      <c r="F26" s="454">
        <v>1150</v>
      </c>
      <c r="G26" s="239"/>
      <c r="H26" s="239" t="s">
        <v>126</v>
      </c>
      <c r="I26" s="209">
        <v>1050</v>
      </c>
      <c r="J26" s="210">
        <v>1060</v>
      </c>
      <c r="K26" s="509">
        <v>1060</v>
      </c>
      <c r="AD26" s="240" t="s">
        <v>127</v>
      </c>
      <c r="AE26" s="2" t="s">
        <v>128</v>
      </c>
      <c r="AF26" s="241">
        <v>2</v>
      </c>
      <c r="AG26" s="241"/>
      <c r="AH26" s="241">
        <v>2</v>
      </c>
      <c r="AJ26" s="242">
        <f>AH26/(AH$34-AH$33)</f>
        <v>8.0000000000000002E-3</v>
      </c>
      <c r="AK26" s="235"/>
      <c r="AL26" s="235"/>
      <c r="AN26" s="240" t="s">
        <v>127</v>
      </c>
      <c r="AO26" s="2" t="s">
        <v>129</v>
      </c>
      <c r="AP26" s="241">
        <v>1</v>
      </c>
      <c r="AQ26" s="241">
        <v>2</v>
      </c>
      <c r="AR26" s="241">
        <v>3</v>
      </c>
      <c r="AT26" s="242">
        <f t="shared" ref="AT26:AT31" si="0">AR26/AR$32</f>
        <v>8.6956521739130436E-3</v>
      </c>
    </row>
    <row r="27" spans="2:48" ht="13.5" thickBot="1" x14ac:dyDescent="0.45">
      <c r="AD27" s="240"/>
      <c r="AE27" s="2" t="s">
        <v>130</v>
      </c>
      <c r="AF27" s="241">
        <v>39</v>
      </c>
      <c r="AG27" s="241">
        <v>67</v>
      </c>
      <c r="AH27" s="241">
        <v>106</v>
      </c>
      <c r="AJ27" s="242">
        <f t="shared" ref="AJ27:AJ32" si="1">AH27/(AH$34-AH$33)</f>
        <v>0.42399999999999999</v>
      </c>
      <c r="AK27" s="235"/>
      <c r="AL27" s="235"/>
      <c r="AN27" s="240"/>
      <c r="AO27" s="2" t="s">
        <v>131</v>
      </c>
      <c r="AP27" s="241">
        <v>4</v>
      </c>
      <c r="AQ27" s="241">
        <v>3</v>
      </c>
      <c r="AR27" s="241">
        <v>7</v>
      </c>
      <c r="AT27" s="242">
        <f t="shared" si="0"/>
        <v>2.0289855072463767E-2</v>
      </c>
      <c r="AV27" s="243"/>
    </row>
    <row r="28" spans="2:48" x14ac:dyDescent="0.4">
      <c r="B28" s="512" t="s">
        <v>132</v>
      </c>
      <c r="C28" s="504"/>
      <c r="D28" s="505"/>
      <c r="E28" s="511"/>
      <c r="G28" s="503" t="s">
        <v>133</v>
      </c>
      <c r="H28" s="513"/>
      <c r="I28" s="504"/>
      <c r="J28" s="514" t="s">
        <v>114</v>
      </c>
      <c r="K28" s="513">
        <v>3.72</v>
      </c>
      <c r="L28" s="511"/>
      <c r="M28" s="532"/>
      <c r="N28" s="532"/>
      <c r="O28" s="532"/>
      <c r="P28" s="532"/>
      <c r="Q28" s="532"/>
      <c r="R28" s="532"/>
      <c r="S28" s="532"/>
      <c r="T28" s="532"/>
      <c r="U28" s="532"/>
      <c r="V28" s="532"/>
      <c r="W28" s="532"/>
      <c r="X28" s="532"/>
      <c r="Y28" s="532"/>
      <c r="Z28" s="532"/>
      <c r="AA28" s="532"/>
      <c r="AD28" s="240"/>
      <c r="AE28" s="2" t="s">
        <v>134</v>
      </c>
      <c r="AF28" s="241">
        <v>25</v>
      </c>
      <c r="AG28" s="241">
        <v>36</v>
      </c>
      <c r="AH28" s="241">
        <v>61</v>
      </c>
      <c r="AJ28" s="242">
        <f t="shared" si="1"/>
        <v>0.24399999999999999</v>
      </c>
      <c r="AK28" s="235"/>
      <c r="AL28" s="248">
        <f>AJ28+AJ27</f>
        <v>0.66799999999999993</v>
      </c>
      <c r="AN28" s="240"/>
      <c r="AO28" s="2" t="s">
        <v>135</v>
      </c>
      <c r="AP28" s="241">
        <v>16</v>
      </c>
      <c r="AQ28" s="241">
        <v>8</v>
      </c>
      <c r="AR28" s="241">
        <v>24</v>
      </c>
      <c r="AT28" s="242">
        <f t="shared" si="0"/>
        <v>6.9565217391304349E-2</v>
      </c>
    </row>
    <row r="29" spans="2:48" x14ac:dyDescent="0.4">
      <c r="B29" s="249" t="s">
        <v>136</v>
      </c>
      <c r="C29" s="250">
        <v>0.33</v>
      </c>
      <c r="D29" s="80" t="s">
        <v>137</v>
      </c>
      <c r="E29" s="251">
        <v>0.72</v>
      </c>
      <c r="G29" s="252"/>
      <c r="H29" s="253" t="s">
        <v>138</v>
      </c>
      <c r="I29" s="254">
        <v>0.94</v>
      </c>
      <c r="J29" s="255"/>
      <c r="K29" s="256" t="s">
        <v>139</v>
      </c>
      <c r="L29" s="257">
        <v>0.09</v>
      </c>
      <c r="M29" s="535"/>
      <c r="N29" s="535"/>
      <c r="O29" s="535"/>
      <c r="P29" s="535"/>
      <c r="Q29" s="535"/>
      <c r="R29" s="535"/>
      <c r="S29" s="535"/>
      <c r="T29" s="535"/>
      <c r="U29" s="535"/>
      <c r="V29" s="535"/>
      <c r="W29" s="535"/>
      <c r="X29" s="535"/>
      <c r="Y29" s="535"/>
      <c r="Z29" s="535"/>
      <c r="AA29" s="535"/>
      <c r="AD29" s="240"/>
      <c r="AE29" s="2" t="s">
        <v>140</v>
      </c>
      <c r="AF29" s="241">
        <v>12</v>
      </c>
      <c r="AG29" s="241">
        <v>5</v>
      </c>
      <c r="AH29" s="241">
        <v>17</v>
      </c>
      <c r="AJ29" s="242">
        <f t="shared" si="1"/>
        <v>6.8000000000000005E-2</v>
      </c>
      <c r="AK29" s="235"/>
      <c r="AL29" s="248">
        <f>AJ29+AL28</f>
        <v>0.73599999999999999</v>
      </c>
      <c r="AN29" s="240"/>
      <c r="AO29" s="2" t="s">
        <v>141</v>
      </c>
      <c r="AP29" s="241">
        <v>18</v>
      </c>
      <c r="AQ29" s="241">
        <v>19</v>
      </c>
      <c r="AR29" s="241">
        <v>37</v>
      </c>
      <c r="AT29" s="242">
        <f t="shared" si="0"/>
        <v>0.1072463768115942</v>
      </c>
    </row>
    <row r="30" spans="2:48" x14ac:dyDescent="0.4">
      <c r="B30" s="249" t="s">
        <v>142</v>
      </c>
      <c r="C30" s="250">
        <v>0.54</v>
      </c>
      <c r="D30" s="213" t="s">
        <v>143</v>
      </c>
      <c r="E30" s="251">
        <v>0.82</v>
      </c>
      <c r="F30" s="9"/>
      <c r="G30" s="252"/>
      <c r="H30" s="258" t="s">
        <v>144</v>
      </c>
      <c r="I30" s="254">
        <v>0.46</v>
      </c>
      <c r="J30" s="255"/>
      <c r="K30" s="256" t="s">
        <v>145</v>
      </c>
      <c r="L30" s="257">
        <v>0.05</v>
      </c>
      <c r="M30" s="535"/>
      <c r="N30" s="535"/>
      <c r="O30" s="535"/>
      <c r="P30" s="535"/>
      <c r="Q30" s="535"/>
      <c r="R30" s="535"/>
      <c r="S30" s="535"/>
      <c r="T30" s="535"/>
      <c r="U30" s="535"/>
      <c r="V30" s="535"/>
      <c r="W30" s="535"/>
      <c r="X30" s="535"/>
      <c r="Y30" s="535"/>
      <c r="Z30" s="535"/>
      <c r="AA30" s="535"/>
      <c r="AD30" s="240"/>
      <c r="AE30" s="2" t="s">
        <v>146</v>
      </c>
      <c r="AF30" s="241">
        <v>9</v>
      </c>
      <c r="AG30" s="241">
        <v>14</v>
      </c>
      <c r="AH30" s="241">
        <v>23</v>
      </c>
      <c r="AJ30" s="242">
        <f t="shared" si="1"/>
        <v>9.1999999999999998E-2</v>
      </c>
      <c r="AK30" s="235"/>
      <c r="AL30" s="248">
        <f>AJ30+AL29</f>
        <v>0.82799999999999996</v>
      </c>
      <c r="AN30" s="240"/>
      <c r="AO30" s="2" t="s">
        <v>147</v>
      </c>
      <c r="AP30" s="241">
        <v>41</v>
      </c>
      <c r="AQ30" s="241">
        <v>26</v>
      </c>
      <c r="AR30" s="241">
        <v>67</v>
      </c>
      <c r="AT30" s="242">
        <f t="shared" si="0"/>
        <v>0.19420289855072465</v>
      </c>
    </row>
    <row r="31" spans="2:48" ht="13.5" thickBot="1" x14ac:dyDescent="0.45">
      <c r="B31" s="259" t="s">
        <v>148</v>
      </c>
      <c r="C31" s="260">
        <v>0.64</v>
      </c>
      <c r="D31" s="261" t="s">
        <v>149</v>
      </c>
      <c r="E31" s="262">
        <v>0.91</v>
      </c>
      <c r="G31" s="252"/>
      <c r="H31" s="258" t="s">
        <v>150</v>
      </c>
      <c r="I31" s="254">
        <v>0.25</v>
      </c>
      <c r="J31" s="255"/>
      <c r="K31" s="256" t="s">
        <v>151</v>
      </c>
      <c r="L31" s="257">
        <v>0.01</v>
      </c>
      <c r="M31" s="535"/>
      <c r="N31" s="535"/>
      <c r="O31" s="535"/>
      <c r="P31" s="535"/>
      <c r="Q31" s="535"/>
      <c r="R31" s="535"/>
      <c r="S31" s="535"/>
      <c r="T31" s="535"/>
      <c r="U31" s="535"/>
      <c r="V31" s="535"/>
      <c r="W31" s="535"/>
      <c r="X31" s="535"/>
      <c r="Y31" s="535"/>
      <c r="Z31" s="535"/>
      <c r="AA31" s="535"/>
      <c r="AB31" s="94"/>
      <c r="AD31" s="240"/>
      <c r="AE31" s="2" t="s">
        <v>152</v>
      </c>
      <c r="AF31" s="241">
        <v>14</v>
      </c>
      <c r="AG31" s="241">
        <v>13</v>
      </c>
      <c r="AH31" s="241">
        <v>27</v>
      </c>
      <c r="AJ31" s="242">
        <f t="shared" si="1"/>
        <v>0.108</v>
      </c>
      <c r="AK31" s="235"/>
      <c r="AL31" s="248">
        <f>AJ31+AL30</f>
        <v>0.93599999999999994</v>
      </c>
      <c r="AN31" s="263"/>
      <c r="AO31" s="2" t="s">
        <v>153</v>
      </c>
      <c r="AP31" s="241">
        <v>74</v>
      </c>
      <c r="AQ31" s="241">
        <v>133</v>
      </c>
      <c r="AR31" s="241">
        <v>207</v>
      </c>
      <c r="AT31" s="242">
        <f t="shared" si="0"/>
        <v>0.6</v>
      </c>
    </row>
    <row r="32" spans="2:48" x14ac:dyDescent="0.4">
      <c r="B32" s="80"/>
      <c r="C32" s="264"/>
      <c r="D32" s="213"/>
      <c r="E32" s="264"/>
      <c r="G32" s="252"/>
      <c r="H32" s="258" t="s">
        <v>154</v>
      </c>
      <c r="I32" s="254">
        <v>0.15</v>
      </c>
      <c r="J32" s="255"/>
      <c r="K32" s="265" t="s">
        <v>155</v>
      </c>
      <c r="L32" s="257">
        <v>0</v>
      </c>
      <c r="M32" s="535"/>
      <c r="N32" s="535"/>
      <c r="O32" s="535"/>
      <c r="P32" s="535"/>
      <c r="Q32" s="535"/>
      <c r="R32" s="535"/>
      <c r="S32" s="535"/>
      <c r="T32" s="535"/>
      <c r="U32" s="535"/>
      <c r="V32" s="535"/>
      <c r="W32" s="535"/>
      <c r="X32" s="535"/>
      <c r="Y32" s="535"/>
      <c r="Z32" s="535"/>
      <c r="AA32" s="535"/>
      <c r="AB32" s="94"/>
      <c r="AD32" s="240"/>
      <c r="AE32" s="2" t="s">
        <v>156</v>
      </c>
      <c r="AF32" s="241">
        <v>9</v>
      </c>
      <c r="AG32" s="241">
        <v>5</v>
      </c>
      <c r="AH32" s="241">
        <v>14</v>
      </c>
      <c r="AJ32" s="242">
        <f t="shared" si="1"/>
        <v>5.6000000000000001E-2</v>
      </c>
      <c r="AK32" s="235"/>
      <c r="AL32" s="248">
        <f>AJ32+AL31</f>
        <v>0.99199999999999999</v>
      </c>
      <c r="AN32" s="266" t="s">
        <v>157</v>
      </c>
      <c r="AO32" s="266"/>
      <c r="AP32" s="267">
        <v>154</v>
      </c>
      <c r="AQ32" s="267">
        <v>191</v>
      </c>
      <c r="AR32" s="267">
        <v>345</v>
      </c>
      <c r="AT32" s="248">
        <f>SUM(AT26:AT31)</f>
        <v>1</v>
      </c>
    </row>
    <row r="33" spans="2:38" ht="13.5" thickBot="1" x14ac:dyDescent="0.45">
      <c r="B33" s="170"/>
      <c r="C33" s="171"/>
      <c r="G33" s="268" t="s">
        <v>158</v>
      </c>
      <c r="H33" s="269"/>
      <c r="I33" s="270">
        <v>3.38</v>
      </c>
      <c r="J33" s="271" t="s">
        <v>159</v>
      </c>
      <c r="K33" s="272"/>
      <c r="L33" s="273">
        <v>4</v>
      </c>
      <c r="M33" s="536"/>
      <c r="N33" s="536"/>
      <c r="O33" s="536"/>
      <c r="P33" s="536"/>
      <c r="Q33" s="536"/>
      <c r="R33" s="536"/>
      <c r="S33" s="536"/>
      <c r="T33" s="536"/>
      <c r="U33" s="536"/>
      <c r="V33" s="536"/>
      <c r="W33" s="536"/>
      <c r="X33" s="536"/>
      <c r="Y33" s="536"/>
      <c r="Z33" s="536"/>
      <c r="AA33" s="536"/>
      <c r="AB33" s="94"/>
      <c r="AD33" s="263"/>
      <c r="AE33" s="2" t="s">
        <v>160</v>
      </c>
      <c r="AF33" s="241">
        <v>44</v>
      </c>
      <c r="AG33" s="241">
        <v>51</v>
      </c>
      <c r="AH33" s="241">
        <v>95</v>
      </c>
      <c r="AJ33" s="235"/>
      <c r="AK33" s="235"/>
      <c r="AL33" s="235"/>
    </row>
    <row r="34" spans="2:38" s="278" customFormat="1" ht="14.25" x14ac:dyDescent="0.45">
      <c r="B34" s="274"/>
      <c r="C34" s="4"/>
      <c r="D34" s="4"/>
      <c r="E34" s="275" t="s">
        <v>161</v>
      </c>
      <c r="F34" s="276" t="s">
        <v>162</v>
      </c>
      <c r="G34" s="277"/>
      <c r="K34" s="275" t="s">
        <v>161</v>
      </c>
      <c r="L34" s="276" t="s">
        <v>162</v>
      </c>
      <c r="M34" s="276"/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276"/>
      <c r="AB34" s="279">
        <v>423</v>
      </c>
      <c r="AD34" s="266" t="s">
        <v>157</v>
      </c>
      <c r="AE34" s="266"/>
      <c r="AF34" s="267">
        <v>154</v>
      </c>
      <c r="AG34" s="267">
        <v>191</v>
      </c>
      <c r="AH34" s="267">
        <v>345</v>
      </c>
      <c r="AI34" s="2"/>
      <c r="AJ34" s="248">
        <f>SUM(AJ26:AJ32)</f>
        <v>1</v>
      </c>
      <c r="AK34" s="235"/>
      <c r="AL34" s="235"/>
    </row>
    <row r="35" spans="2:38" s="278" customFormat="1" ht="14.25" x14ac:dyDescent="0.45">
      <c r="B35" s="278" t="s">
        <v>163</v>
      </c>
      <c r="C35" s="277"/>
      <c r="D35" s="277"/>
      <c r="E35" s="281">
        <v>336</v>
      </c>
      <c r="F35" s="280">
        <v>0.79400000000000004</v>
      </c>
      <c r="G35" s="277"/>
      <c r="H35" s="4" t="s">
        <v>164</v>
      </c>
      <c r="I35" s="4"/>
      <c r="J35" s="4"/>
      <c r="K35" s="281">
        <v>422</v>
      </c>
      <c r="L35" s="515">
        <v>0.998</v>
      </c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5"/>
      <c r="X35" s="515"/>
      <c r="Y35" s="515"/>
      <c r="Z35" s="515"/>
      <c r="AA35" s="515"/>
      <c r="AB35" s="283"/>
      <c r="AD35" s="284" t="s">
        <v>120</v>
      </c>
      <c r="AE35" s="284"/>
      <c r="AF35" s="285">
        <v>154</v>
      </c>
      <c r="AG35" s="285">
        <v>191</v>
      </c>
      <c r="AH35" s="285">
        <v>345</v>
      </c>
      <c r="AI35" s="2"/>
      <c r="AJ35" s="2"/>
      <c r="AK35" s="2"/>
      <c r="AL35" s="2"/>
    </row>
    <row r="36" spans="2:38" s="278" customFormat="1" ht="14.25" x14ac:dyDescent="0.45">
      <c r="B36" s="278" t="s">
        <v>165</v>
      </c>
      <c r="C36" s="4"/>
      <c r="D36" s="4"/>
      <c r="E36" s="275">
        <v>95</v>
      </c>
      <c r="F36" s="280">
        <f>E36/AB34</f>
        <v>0.22458628841607564</v>
      </c>
      <c r="G36" s="277"/>
      <c r="H36" s="286" t="s">
        <v>166</v>
      </c>
      <c r="I36" s="286"/>
      <c r="J36" s="286"/>
      <c r="K36" s="281">
        <v>266</v>
      </c>
      <c r="L36" s="515">
        <v>0.629</v>
      </c>
      <c r="M36" s="515"/>
      <c r="N36" s="515"/>
      <c r="O36" s="515"/>
      <c r="P36" s="515"/>
      <c r="Q36" s="515"/>
      <c r="R36" s="515"/>
      <c r="S36" s="515"/>
      <c r="T36" s="515"/>
      <c r="U36" s="515"/>
      <c r="V36" s="515"/>
      <c r="W36" s="515"/>
      <c r="X36" s="515"/>
      <c r="Y36" s="515"/>
      <c r="Z36" s="515"/>
      <c r="AA36" s="515"/>
      <c r="AB36" s="283"/>
    </row>
    <row r="37" spans="2:38" s="4" customFormat="1" ht="14.25" x14ac:dyDescent="0.45">
      <c r="B37" s="4" t="s">
        <v>167</v>
      </c>
      <c r="D37" s="287"/>
      <c r="E37" s="288">
        <v>25.91</v>
      </c>
      <c r="G37" s="289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90"/>
      <c r="Y37" s="290"/>
      <c r="Z37" s="290"/>
      <c r="AA37" s="290"/>
      <c r="AB37" s="283"/>
    </row>
    <row r="38" spans="2:38" s="4" customFormat="1" ht="14.25" x14ac:dyDescent="0.45">
      <c r="D38" s="278"/>
      <c r="E38" s="291"/>
      <c r="F38" s="277"/>
      <c r="G38" s="289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83"/>
    </row>
    <row r="39" spans="2:38" s="194" customFormat="1" ht="14.25" x14ac:dyDescent="0.45">
      <c r="B39" s="286" t="s">
        <v>168</v>
      </c>
      <c r="C39" s="292"/>
      <c r="D39" s="293"/>
      <c r="E39" s="294" t="s">
        <v>169</v>
      </c>
      <c r="F39" s="295"/>
      <c r="G39" s="296">
        <v>5</v>
      </c>
      <c r="H39" s="294" t="s">
        <v>170</v>
      </c>
      <c r="J39" s="296">
        <v>9</v>
      </c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7" t="s">
        <v>171</v>
      </c>
    </row>
    <row r="40" spans="2:38" s="194" customFormat="1" ht="14.25" x14ac:dyDescent="0.45">
      <c r="C40" s="292"/>
      <c r="D40" s="293"/>
      <c r="E40" s="294" t="s">
        <v>172</v>
      </c>
      <c r="F40" s="298"/>
      <c r="G40" s="296">
        <v>3</v>
      </c>
      <c r="H40" s="299" t="s">
        <v>173</v>
      </c>
      <c r="J40" s="300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</row>
    <row r="41" spans="2:38" s="194" customFormat="1" x14ac:dyDescent="0.4">
      <c r="C41" s="292"/>
      <c r="D41" s="293"/>
      <c r="E41" s="299"/>
      <c r="G41" s="293"/>
      <c r="H41" s="299"/>
      <c r="J41" s="300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</row>
    <row r="42" spans="2:38" x14ac:dyDescent="0.4">
      <c r="C42" s="2"/>
      <c r="D42" s="2"/>
      <c r="E42" s="2"/>
      <c r="F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38" x14ac:dyDescent="0.4">
      <c r="C43" s="2"/>
      <c r="D43" s="2"/>
      <c r="E43" s="2"/>
      <c r="F43" s="2"/>
      <c r="I43" s="301"/>
      <c r="J43" s="301"/>
      <c r="K43" s="301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</row>
    <row r="44" spans="2:38" s="4" customFormat="1" ht="14.25" x14ac:dyDescent="0.45">
      <c r="B44" s="303" t="s">
        <v>174</v>
      </c>
      <c r="C44" s="304"/>
      <c r="D44" s="304"/>
      <c r="E44" s="304"/>
      <c r="F44" s="305"/>
      <c r="J44" s="298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89"/>
    </row>
    <row r="45" spans="2:38" s="4" customFormat="1" ht="14.25" x14ac:dyDescent="0.45">
      <c r="B45" s="298" t="s">
        <v>449</v>
      </c>
      <c r="C45" s="298"/>
      <c r="D45" s="306" t="s">
        <v>175</v>
      </c>
      <c r="E45" s="307" t="s">
        <v>176</v>
      </c>
      <c r="F45" s="296">
        <v>546</v>
      </c>
      <c r="G45" s="307" t="s">
        <v>177</v>
      </c>
      <c r="H45" s="296">
        <v>549</v>
      </c>
      <c r="I45" s="307" t="s">
        <v>178</v>
      </c>
      <c r="J45" s="296">
        <v>1095</v>
      </c>
      <c r="K45" s="289"/>
      <c r="L45" s="289"/>
      <c r="M45" s="289"/>
      <c r="N45" s="289"/>
      <c r="O45" s="289"/>
      <c r="P45" s="289"/>
      <c r="Q45" s="289"/>
      <c r="R45" s="289"/>
      <c r="S45" s="289"/>
      <c r="T45" s="289"/>
      <c r="U45" s="289"/>
      <c r="V45" s="289"/>
      <c r="W45" s="289"/>
      <c r="X45" s="289"/>
      <c r="Y45" s="289"/>
      <c r="Z45" s="289"/>
      <c r="AA45" s="289"/>
    </row>
    <row r="46" spans="2:38" s="4" customFormat="1" ht="14.25" x14ac:dyDescent="0.45">
      <c r="B46" s="298"/>
      <c r="C46" s="298"/>
      <c r="E46" s="298"/>
      <c r="F46" s="306" t="s">
        <v>179</v>
      </c>
      <c r="H46" s="308">
        <v>3.1</v>
      </c>
      <c r="I46" s="298"/>
      <c r="J46" s="290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</row>
    <row r="47" spans="2:38" x14ac:dyDescent="0.4">
      <c r="C47" s="2"/>
      <c r="F47" s="9"/>
    </row>
    <row r="48" spans="2:38" s="177" customFormat="1" ht="15.75" x14ac:dyDescent="0.5">
      <c r="B48" s="309" t="s">
        <v>180</v>
      </c>
      <c r="C48" s="310"/>
      <c r="D48" s="311"/>
      <c r="E48" s="312"/>
      <c r="F48" s="313"/>
      <c r="G48" s="311"/>
      <c r="H48" s="312"/>
      <c r="I48" s="313"/>
      <c r="J48" s="313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</row>
    <row r="49" spans="2:44" ht="14.25" x14ac:dyDescent="0.45">
      <c r="E49" s="315"/>
      <c r="H49" s="2" t="s">
        <v>181</v>
      </c>
    </row>
    <row r="50" spans="2:44" s="4" customFormat="1" ht="14.25" x14ac:dyDescent="0.45">
      <c r="B50" s="316" t="s">
        <v>182</v>
      </c>
      <c r="C50" s="275">
        <v>2207</v>
      </c>
      <c r="E50" s="316" t="s">
        <v>183</v>
      </c>
      <c r="F50" s="275">
        <v>1637</v>
      </c>
      <c r="G50" s="317">
        <f>(F50/C50)</f>
        <v>0.7417308563661078</v>
      </c>
      <c r="H50" s="316" t="s">
        <v>184</v>
      </c>
      <c r="I50" s="275">
        <v>423</v>
      </c>
      <c r="J50" s="318">
        <f>(I50/F50)</f>
        <v>0.25839951130116068</v>
      </c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D50" s="319" t="s">
        <v>185</v>
      </c>
      <c r="AE50" s="320">
        <v>423</v>
      </c>
    </row>
    <row r="51" spans="2:44" ht="14.65" thickBot="1" x14ac:dyDescent="0.5">
      <c r="E51" s="315"/>
    </row>
    <row r="52" spans="2:44" ht="14.65" thickBot="1" x14ac:dyDescent="0.5">
      <c r="B52" s="522" t="s">
        <v>186</v>
      </c>
      <c r="C52" s="506"/>
      <c r="D52" s="323" t="s">
        <v>187</v>
      </c>
      <c r="E52" s="324" t="s">
        <v>161</v>
      </c>
      <c r="F52" s="325" t="s">
        <v>162</v>
      </c>
      <c r="I52" s="512" t="s">
        <v>188</v>
      </c>
      <c r="J52" s="504"/>
      <c r="K52" s="505"/>
      <c r="L52" s="511"/>
      <c r="M52" s="532"/>
      <c r="N52" s="532"/>
      <c r="O52" s="532"/>
      <c r="P52" s="532"/>
      <c r="Q52" s="532"/>
      <c r="R52" s="532"/>
      <c r="S52" s="532"/>
      <c r="T52" s="532"/>
      <c r="U52" s="532"/>
      <c r="V52" s="532"/>
      <c r="W52" s="532"/>
      <c r="X52" s="532"/>
      <c r="Y52" s="532"/>
      <c r="Z52" s="532"/>
      <c r="AA52" s="532"/>
      <c r="AC52" s="234" t="s">
        <v>189</v>
      </c>
      <c r="AD52" s="234" t="s">
        <v>190</v>
      </c>
      <c r="AE52" s="234" t="s">
        <v>191</v>
      </c>
      <c r="AF52" s="234" t="s">
        <v>118</v>
      </c>
      <c r="AG52" s="234" t="s">
        <v>119</v>
      </c>
      <c r="AH52" s="234" t="s">
        <v>120</v>
      </c>
    </row>
    <row r="53" spans="2:44" ht="13.5" thickTop="1" x14ac:dyDescent="0.4">
      <c r="B53" s="523" t="s">
        <v>192</v>
      </c>
      <c r="C53" s="524"/>
      <c r="D53" s="332" t="str">
        <f t="shared" ref="D53:D57" si="2">B127</f>
        <v>PA</v>
      </c>
      <c r="E53" s="333">
        <v>249</v>
      </c>
      <c r="F53" s="334">
        <f t="shared" ref="F53:F61" si="3">E53/$E$64</f>
        <v>0.58865248226950351</v>
      </c>
      <c r="I53" s="33"/>
      <c r="J53" s="19" t="s">
        <v>193</v>
      </c>
      <c r="K53" s="335">
        <v>209</v>
      </c>
      <c r="L53" s="257">
        <f>K53/(K53+K54)</f>
        <v>0.49408983451536642</v>
      </c>
      <c r="M53" s="535"/>
      <c r="N53" s="535"/>
      <c r="O53" s="535"/>
      <c r="P53" s="535"/>
      <c r="Q53" s="535"/>
      <c r="R53" s="535"/>
      <c r="S53" s="535"/>
      <c r="T53" s="535"/>
      <c r="U53" s="535"/>
      <c r="V53" s="535"/>
      <c r="W53" s="535"/>
      <c r="X53" s="535"/>
      <c r="Y53" s="535"/>
      <c r="Z53" s="535"/>
      <c r="AA53" s="535"/>
      <c r="AC53" s="240" t="s">
        <v>194</v>
      </c>
      <c r="AD53" s="240" t="s">
        <v>195</v>
      </c>
      <c r="AE53" s="2" t="s">
        <v>196</v>
      </c>
      <c r="AF53" s="241">
        <v>101</v>
      </c>
      <c r="AG53" s="241">
        <v>130</v>
      </c>
      <c r="AH53" s="241">
        <v>231</v>
      </c>
      <c r="AJ53" s="2">
        <f>COUNTA(AE53:AE83)</f>
        <v>31</v>
      </c>
    </row>
    <row r="54" spans="2:44" ht="13.5" thickBot="1" x14ac:dyDescent="0.45">
      <c r="B54" s="523" t="s">
        <v>197</v>
      </c>
      <c r="C54" s="524"/>
      <c r="D54" s="332" t="str">
        <f t="shared" si="2"/>
        <v>NY</v>
      </c>
      <c r="E54" s="333">
        <v>23</v>
      </c>
      <c r="F54" s="334">
        <f t="shared" si="3"/>
        <v>5.4373522458628844E-2</v>
      </c>
      <c r="I54" s="164"/>
      <c r="J54" s="336" t="s">
        <v>198</v>
      </c>
      <c r="K54" s="337">
        <v>214</v>
      </c>
      <c r="L54" s="338">
        <f>K54/(K54+K53)</f>
        <v>0.50591016548463352</v>
      </c>
      <c r="M54" s="535"/>
      <c r="N54" s="535"/>
      <c r="O54" s="535"/>
      <c r="P54" s="535"/>
      <c r="Q54" s="535"/>
      <c r="R54" s="535"/>
      <c r="S54" s="535"/>
      <c r="T54" s="535"/>
      <c r="U54" s="535"/>
      <c r="V54" s="535"/>
      <c r="W54" s="535"/>
      <c r="X54" s="535"/>
      <c r="Y54" s="535"/>
      <c r="Z54" s="535"/>
      <c r="AA54" s="535"/>
      <c r="AC54" s="240"/>
      <c r="AD54" s="240"/>
      <c r="AE54" s="2" t="s">
        <v>199</v>
      </c>
      <c r="AF54" s="241">
        <v>22</v>
      </c>
      <c r="AG54" s="241">
        <v>12</v>
      </c>
      <c r="AH54" s="241">
        <v>34</v>
      </c>
    </row>
    <row r="55" spans="2:44" ht="13.5" thickBot="1" x14ac:dyDescent="0.45">
      <c r="B55" s="33"/>
      <c r="C55" s="339"/>
      <c r="D55" s="332" t="str">
        <f t="shared" si="2"/>
        <v>MD</v>
      </c>
      <c r="E55" s="333">
        <v>20</v>
      </c>
      <c r="F55" s="334">
        <f t="shared" si="3"/>
        <v>4.7281323877068557E-2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301"/>
      <c r="AC55" s="240"/>
      <c r="AD55" s="240"/>
      <c r="AE55" s="2" t="s">
        <v>200</v>
      </c>
      <c r="AF55" s="241">
        <v>15</v>
      </c>
      <c r="AG55" s="241">
        <v>9</v>
      </c>
      <c r="AH55" s="241">
        <v>24</v>
      </c>
      <c r="AQ55" s="2">
        <v>17</v>
      </c>
      <c r="AR55" s="2">
        <v>8</v>
      </c>
    </row>
    <row r="56" spans="2:44" x14ac:dyDescent="0.4">
      <c r="B56" s="33" t="s">
        <v>450</v>
      </c>
      <c r="C56" s="339"/>
      <c r="D56" s="332" t="str">
        <f t="shared" si="2"/>
        <v>NJ</v>
      </c>
      <c r="E56" s="333">
        <v>16</v>
      </c>
      <c r="F56" s="334">
        <f t="shared" si="3"/>
        <v>3.7825059101654845E-2</v>
      </c>
      <c r="I56" s="512" t="s">
        <v>201</v>
      </c>
      <c r="J56" s="504"/>
      <c r="K56" s="505"/>
      <c r="L56" s="511"/>
      <c r="M56" s="532"/>
      <c r="N56" s="532"/>
      <c r="O56" s="532"/>
      <c r="P56" s="532"/>
      <c r="Q56" s="532"/>
      <c r="R56" s="532"/>
      <c r="S56" s="532"/>
      <c r="T56" s="532"/>
      <c r="U56" s="532"/>
      <c r="V56" s="532"/>
      <c r="W56" s="532"/>
      <c r="X56" s="532"/>
      <c r="Y56" s="532"/>
      <c r="Z56" s="532"/>
      <c r="AA56" s="532"/>
      <c r="AC56" s="240"/>
      <c r="AD56" s="240"/>
      <c r="AE56" s="2" t="s">
        <v>202</v>
      </c>
      <c r="AF56" s="241">
        <v>7</v>
      </c>
      <c r="AG56" s="241">
        <v>9</v>
      </c>
      <c r="AH56" s="241">
        <v>16</v>
      </c>
      <c r="AQ56" s="2">
        <f>AQ55+1</f>
        <v>18</v>
      </c>
      <c r="AR56" s="2">
        <v>282</v>
      </c>
    </row>
    <row r="57" spans="2:44" x14ac:dyDescent="0.4">
      <c r="B57" s="33" t="s">
        <v>457</v>
      </c>
      <c r="C57" s="339"/>
      <c r="D57" s="332" t="str">
        <f t="shared" si="2"/>
        <v>CA</v>
      </c>
      <c r="E57" s="333">
        <v>12</v>
      </c>
      <c r="F57" s="334">
        <f t="shared" si="3"/>
        <v>2.8368794326241134E-2</v>
      </c>
      <c r="I57" s="33"/>
      <c r="J57" s="256" t="s">
        <v>204</v>
      </c>
      <c r="K57" s="340">
        <v>314</v>
      </c>
      <c r="L57" s="257">
        <f>K57/$AE$50</f>
        <v>0.74231678486997632</v>
      </c>
      <c r="M57" s="535"/>
      <c r="N57" s="535"/>
      <c r="O57" s="535"/>
      <c r="P57" s="535"/>
      <c r="Q57" s="535"/>
      <c r="R57" s="535"/>
      <c r="S57" s="535"/>
      <c r="T57" s="535"/>
      <c r="U57" s="535"/>
      <c r="V57" s="535"/>
      <c r="W57" s="535"/>
      <c r="X57" s="535"/>
      <c r="Y57" s="535"/>
      <c r="Z57" s="535"/>
      <c r="AA57" s="535"/>
      <c r="AC57" s="240"/>
      <c r="AD57" s="240"/>
      <c r="AE57" s="2" t="s">
        <v>205</v>
      </c>
      <c r="AF57" s="241">
        <v>4</v>
      </c>
      <c r="AG57" s="241">
        <v>7</v>
      </c>
      <c r="AH57" s="241">
        <v>11</v>
      </c>
      <c r="AQ57" s="2">
        <f t="shared" ref="AQ57:AQ59" si="4">AQ56+1</f>
        <v>19</v>
      </c>
      <c r="AR57" s="2">
        <v>92</v>
      </c>
    </row>
    <row r="58" spans="2:44" x14ac:dyDescent="0.4">
      <c r="B58" s="33" t="s">
        <v>206</v>
      </c>
      <c r="C58" s="339"/>
      <c r="D58" s="332" t="s">
        <v>208</v>
      </c>
      <c r="E58" s="333">
        <v>9</v>
      </c>
      <c r="F58" s="334">
        <f t="shared" si="3"/>
        <v>2.1276595744680851E-2</v>
      </c>
      <c r="I58" s="33"/>
      <c r="J58" s="256" t="s">
        <v>207</v>
      </c>
      <c r="K58" s="340">
        <v>59</v>
      </c>
      <c r="L58" s="257">
        <f t="shared" ref="L58:L63" si="5">K58/$AE$50</f>
        <v>0.13947990543735225</v>
      </c>
      <c r="M58" s="535"/>
      <c r="N58" s="535"/>
      <c r="O58" s="535"/>
      <c r="P58" s="535"/>
      <c r="Q58" s="535"/>
      <c r="R58" s="535"/>
      <c r="S58" s="535"/>
      <c r="T58" s="535"/>
      <c r="U58" s="535"/>
      <c r="V58" s="535"/>
      <c r="W58" s="535"/>
      <c r="X58" s="535"/>
      <c r="Y58" s="535"/>
      <c r="Z58" s="535"/>
      <c r="AA58" s="535"/>
      <c r="AC58" s="240"/>
      <c r="AD58" s="240"/>
      <c r="AE58" s="2" t="s">
        <v>208</v>
      </c>
      <c r="AF58" s="241">
        <v>6</v>
      </c>
      <c r="AG58" s="241">
        <v>5</v>
      </c>
      <c r="AH58" s="241">
        <v>11</v>
      </c>
      <c r="AQ58" s="2">
        <f t="shared" si="4"/>
        <v>20</v>
      </c>
      <c r="AR58" s="2">
        <v>5</v>
      </c>
    </row>
    <row r="59" spans="2:44" x14ac:dyDescent="0.4">
      <c r="B59" s="33"/>
      <c r="C59" s="339"/>
      <c r="D59" s="332" t="s">
        <v>212</v>
      </c>
      <c r="E59" s="333">
        <v>8</v>
      </c>
      <c r="F59" s="334">
        <f t="shared" si="3"/>
        <v>1.8912529550827423E-2</v>
      </c>
      <c r="I59" s="33"/>
      <c r="J59" s="256" t="s">
        <v>209</v>
      </c>
      <c r="K59" s="340">
        <v>3</v>
      </c>
      <c r="L59" s="257">
        <f t="shared" si="5"/>
        <v>7.0921985815602835E-3</v>
      </c>
      <c r="M59" s="535"/>
      <c r="N59" s="535"/>
      <c r="O59" s="535"/>
      <c r="P59" s="535"/>
      <c r="Q59" s="535"/>
      <c r="R59" s="535"/>
      <c r="S59" s="535"/>
      <c r="T59" s="535"/>
      <c r="U59" s="535"/>
      <c r="V59" s="535"/>
      <c r="W59" s="535"/>
      <c r="X59" s="535"/>
      <c r="Y59" s="535"/>
      <c r="Z59" s="535"/>
      <c r="AA59" s="535"/>
      <c r="AC59" s="240"/>
      <c r="AD59" s="240"/>
      <c r="AE59" s="2" t="s">
        <v>210</v>
      </c>
      <c r="AF59" s="241">
        <v>3</v>
      </c>
      <c r="AG59" s="241">
        <v>5</v>
      </c>
      <c r="AH59" s="241">
        <v>8</v>
      </c>
      <c r="AQ59" s="2">
        <f t="shared" si="4"/>
        <v>21</v>
      </c>
      <c r="AR59" s="2">
        <v>1</v>
      </c>
    </row>
    <row r="60" spans="2:44" x14ac:dyDescent="0.4">
      <c r="B60" s="33"/>
      <c r="C60" s="339"/>
      <c r="D60" s="332" t="s">
        <v>217</v>
      </c>
      <c r="E60" s="333">
        <v>7</v>
      </c>
      <c r="F60" s="334">
        <f t="shared" si="3"/>
        <v>1.6548463356973995E-2</v>
      </c>
      <c r="I60" s="33"/>
      <c r="J60" s="256" t="s">
        <v>211</v>
      </c>
      <c r="K60" s="341">
        <v>11</v>
      </c>
      <c r="L60" s="257">
        <f t="shared" si="5"/>
        <v>2.6004728132387706E-2</v>
      </c>
      <c r="M60" s="535"/>
      <c r="N60" s="535"/>
      <c r="O60" s="535"/>
      <c r="P60" s="535"/>
      <c r="Q60" s="535"/>
      <c r="R60" s="535"/>
      <c r="S60" s="535"/>
      <c r="T60" s="535"/>
      <c r="U60" s="535"/>
      <c r="V60" s="535"/>
      <c r="W60" s="535"/>
      <c r="X60" s="535"/>
      <c r="Y60" s="535"/>
      <c r="Z60" s="535"/>
      <c r="AA60" s="535"/>
      <c r="AC60" s="240"/>
      <c r="AD60" s="240"/>
      <c r="AE60" s="2" t="s">
        <v>212</v>
      </c>
      <c r="AF60" s="241">
        <v>3</v>
      </c>
      <c r="AG60" s="241">
        <v>4</v>
      </c>
      <c r="AH60" s="241">
        <v>7</v>
      </c>
      <c r="AQ60" s="2">
        <v>23</v>
      </c>
      <c r="AR60" s="2">
        <v>1</v>
      </c>
    </row>
    <row r="61" spans="2:44" ht="13.5" thickBot="1" x14ac:dyDescent="0.45">
      <c r="B61" s="33"/>
      <c r="C61" s="339"/>
      <c r="D61" s="332" t="s">
        <v>221</v>
      </c>
      <c r="E61" s="333">
        <v>7</v>
      </c>
      <c r="F61" s="334">
        <f t="shared" si="3"/>
        <v>1.6548463356973995E-2</v>
      </c>
      <c r="I61" s="342"/>
      <c r="J61" s="343" t="s">
        <v>213</v>
      </c>
      <c r="K61" s="344">
        <v>36</v>
      </c>
      <c r="L61" s="345">
        <f t="shared" si="5"/>
        <v>8.5106382978723402E-2</v>
      </c>
      <c r="M61" s="535"/>
      <c r="N61" s="535"/>
      <c r="O61" s="535"/>
      <c r="P61" s="535"/>
      <c r="Q61" s="535"/>
      <c r="R61" s="535"/>
      <c r="S61" s="535"/>
      <c r="T61" s="535"/>
      <c r="U61" s="535"/>
      <c r="V61" s="535"/>
      <c r="W61" s="535"/>
      <c r="X61" s="535"/>
      <c r="Y61" s="535"/>
      <c r="Z61" s="535"/>
      <c r="AA61" s="535"/>
      <c r="AC61" s="240"/>
      <c r="AD61" s="240"/>
      <c r="AE61" s="2" t="s">
        <v>214</v>
      </c>
      <c r="AF61" s="241">
        <v>2</v>
      </c>
      <c r="AG61" s="241">
        <v>4</v>
      </c>
      <c r="AH61" s="241">
        <v>6</v>
      </c>
      <c r="AQ61" s="2">
        <v>25</v>
      </c>
      <c r="AR61" s="2">
        <v>1</v>
      </c>
    </row>
    <row r="62" spans="2:44" ht="27" thickTop="1" thickBot="1" x14ac:dyDescent="0.45">
      <c r="B62" s="33"/>
      <c r="C62" s="339"/>
      <c r="D62" s="346" t="s">
        <v>215</v>
      </c>
      <c r="E62" s="347">
        <v>40</v>
      </c>
      <c r="F62" s="348">
        <f>E62/$E$64</f>
        <v>9.4562647754137114E-2</v>
      </c>
      <c r="I62" s="525" t="s">
        <v>216</v>
      </c>
      <c r="J62" s="526"/>
      <c r="K62" s="209">
        <f>SUM(K57:K58,K60)</f>
        <v>384</v>
      </c>
      <c r="L62" s="351"/>
      <c r="M62" s="537"/>
      <c r="N62" s="537"/>
      <c r="O62" s="537"/>
      <c r="P62" s="537"/>
      <c r="Q62" s="537"/>
      <c r="R62" s="537"/>
      <c r="S62" s="537"/>
      <c r="T62" s="537"/>
      <c r="U62" s="537"/>
      <c r="V62" s="537"/>
      <c r="W62" s="537"/>
      <c r="X62" s="537"/>
      <c r="Y62" s="537"/>
      <c r="Z62" s="537"/>
      <c r="AA62" s="537"/>
      <c r="AC62" s="240"/>
      <c r="AD62" s="240"/>
      <c r="AE62" s="2" t="s">
        <v>217</v>
      </c>
      <c r="AF62" s="241">
        <v>1</v>
      </c>
      <c r="AG62" s="241"/>
      <c r="AH62" s="241">
        <v>1</v>
      </c>
      <c r="AQ62" s="2">
        <v>36</v>
      </c>
    </row>
    <row r="63" spans="2:44" ht="13.5" thickBot="1" x14ac:dyDescent="0.45">
      <c r="B63" s="33"/>
      <c r="C63" s="339"/>
      <c r="D63" s="352" t="s">
        <v>218</v>
      </c>
      <c r="E63" s="353">
        <v>32</v>
      </c>
      <c r="F63" s="354">
        <f>E63/$E$64</f>
        <v>7.5650118203309691E-2</v>
      </c>
      <c r="I63" s="527" t="s">
        <v>219</v>
      </c>
      <c r="J63" s="528"/>
      <c r="K63" s="357">
        <v>101</v>
      </c>
      <c r="L63" s="358">
        <f t="shared" si="5"/>
        <v>0.23877068557919623</v>
      </c>
      <c r="M63" s="538"/>
      <c r="N63" s="538"/>
      <c r="O63" s="538"/>
      <c r="P63" s="538"/>
      <c r="Q63" s="538"/>
      <c r="R63" s="538"/>
      <c r="S63" s="538"/>
      <c r="T63" s="538"/>
      <c r="U63" s="538"/>
      <c r="V63" s="538"/>
      <c r="W63" s="538"/>
      <c r="X63" s="538"/>
      <c r="Y63" s="538"/>
      <c r="Z63" s="538"/>
      <c r="AA63" s="538"/>
      <c r="AC63" s="240"/>
      <c r="AD63" s="240"/>
      <c r="AE63" s="2" t="s">
        <v>220</v>
      </c>
      <c r="AF63" s="241"/>
      <c r="AG63" s="241">
        <v>1</v>
      </c>
      <c r="AH63" s="241">
        <v>1</v>
      </c>
      <c r="AQ63" s="2">
        <f>SUM(AQ55:AQ62)</f>
        <v>179</v>
      </c>
      <c r="AR63" s="2">
        <f>(AR55*AQ55+AQ56*AR56+AR57*AQ57+AQ58*AR58+AR59*AQ59+AQ60*AR60+AR61*AQ61)</f>
        <v>7129</v>
      </c>
    </row>
    <row r="64" spans="2:44" ht="13.9" thickTop="1" thickBot="1" x14ac:dyDescent="0.45">
      <c r="B64" s="164"/>
      <c r="C64" s="359"/>
      <c r="D64" s="360" t="s">
        <v>43</v>
      </c>
      <c r="E64" s="361">
        <f>SUM(E53:E63)</f>
        <v>423</v>
      </c>
      <c r="F64" s="362">
        <f>SUM(F53:F63)</f>
        <v>1</v>
      </c>
      <c r="AC64" s="240"/>
      <c r="AD64" s="240"/>
      <c r="AE64" s="2" t="s">
        <v>221</v>
      </c>
      <c r="AF64" s="241">
        <v>2</v>
      </c>
      <c r="AG64" s="241"/>
      <c r="AH64" s="241">
        <v>2</v>
      </c>
      <c r="AR64" s="2">
        <f>AR63/391</f>
        <v>18.232736572890026</v>
      </c>
    </row>
    <row r="65" spans="2:46" ht="13.5" thickBot="1" x14ac:dyDescent="0.45">
      <c r="I65" s="355" t="s">
        <v>222</v>
      </c>
      <c r="J65" s="356"/>
      <c r="K65" s="363"/>
      <c r="L65" s="364">
        <f>$AR$64</f>
        <v>18.232736572890026</v>
      </c>
      <c r="M65" s="539"/>
      <c r="N65" s="539"/>
      <c r="O65" s="539"/>
      <c r="P65" s="539"/>
      <c r="Q65" s="539"/>
      <c r="R65" s="539"/>
      <c r="S65" s="539"/>
      <c r="T65" s="539"/>
      <c r="U65" s="539"/>
      <c r="V65" s="539"/>
      <c r="W65" s="539"/>
      <c r="X65" s="539"/>
      <c r="Y65" s="539"/>
      <c r="Z65" s="539"/>
      <c r="AA65" s="539"/>
      <c r="AC65" s="240"/>
      <c r="AD65" s="240"/>
      <c r="AE65" s="2" t="s">
        <v>223</v>
      </c>
      <c r="AF65" s="241"/>
      <c r="AG65" s="241">
        <v>1</v>
      </c>
      <c r="AH65" s="241">
        <v>1</v>
      </c>
    </row>
    <row r="66" spans="2:46" s="194" customFormat="1" x14ac:dyDescent="0.4">
      <c r="B66" s="2"/>
      <c r="C66" s="9"/>
      <c r="D66" s="170"/>
      <c r="E66" s="80"/>
      <c r="F66" s="282"/>
      <c r="G66" s="2"/>
      <c r="H66" s="2"/>
      <c r="I66" s="2"/>
      <c r="J66" s="2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C66" s="240"/>
      <c r="AD66" s="240"/>
      <c r="AE66" s="2" t="s">
        <v>224</v>
      </c>
      <c r="AF66" s="241">
        <v>1</v>
      </c>
      <c r="AG66" s="241"/>
      <c r="AH66" s="241">
        <v>1</v>
      </c>
    </row>
    <row r="67" spans="2:46" s="194" customFormat="1" x14ac:dyDescent="0.4">
      <c r="B67" s="654" t="s">
        <v>225</v>
      </c>
      <c r="C67" s="655"/>
      <c r="D67" s="655"/>
      <c r="E67" s="655"/>
      <c r="F67" s="655"/>
      <c r="G67" s="655"/>
      <c r="H67" s="655"/>
      <c r="I67" s="655"/>
      <c r="J67" s="655"/>
      <c r="K67" s="655"/>
      <c r="L67" s="655"/>
      <c r="M67" s="508"/>
      <c r="N67" s="508"/>
      <c r="O67" s="508"/>
      <c r="P67" s="508"/>
      <c r="Q67" s="508"/>
      <c r="R67" s="508"/>
      <c r="S67" s="508"/>
      <c r="T67" s="508"/>
      <c r="U67" s="508"/>
      <c r="V67" s="508"/>
      <c r="W67" s="508"/>
      <c r="X67" s="508"/>
      <c r="Y67" s="508"/>
      <c r="Z67" s="508"/>
      <c r="AA67" s="508"/>
      <c r="AC67" s="240"/>
      <c r="AD67" s="240"/>
      <c r="AE67" s="2" t="s">
        <v>226</v>
      </c>
      <c r="AF67" s="241"/>
      <c r="AG67" s="241">
        <v>1</v>
      </c>
      <c r="AH67" s="241">
        <v>1</v>
      </c>
    </row>
    <row r="68" spans="2:46" ht="13.5" thickBot="1" x14ac:dyDescent="0.45">
      <c r="B68" s="365"/>
      <c r="C68" s="365"/>
      <c r="D68" s="366"/>
      <c r="E68" s="366"/>
      <c r="F68" s="366"/>
      <c r="G68" s="365"/>
      <c r="H68" s="365"/>
      <c r="I68" s="367"/>
      <c r="J68" s="367"/>
      <c r="K68" s="367"/>
      <c r="L68" s="367"/>
      <c r="M68" s="508"/>
      <c r="N68" s="508"/>
      <c r="O68" s="508"/>
      <c r="P68" s="508"/>
      <c r="Q68" s="508"/>
      <c r="R68" s="508"/>
      <c r="S68" s="508"/>
      <c r="T68" s="508"/>
      <c r="U68" s="508"/>
      <c r="V68" s="508"/>
      <c r="W68" s="508"/>
      <c r="X68" s="508"/>
      <c r="Y68" s="508"/>
      <c r="Z68" s="508"/>
      <c r="AA68" s="508"/>
      <c r="AC68" s="240"/>
      <c r="AD68" s="240"/>
      <c r="AE68" s="2" t="s">
        <v>227</v>
      </c>
      <c r="AF68" s="241">
        <v>1</v>
      </c>
      <c r="AG68" s="241"/>
      <c r="AH68" s="241">
        <v>1</v>
      </c>
    </row>
    <row r="69" spans="2:46" ht="14.65" thickBot="1" x14ac:dyDescent="0.5">
      <c r="B69" s="522" t="s">
        <v>228</v>
      </c>
      <c r="C69" s="505"/>
      <c r="D69" s="505"/>
      <c r="E69" s="505"/>
      <c r="F69" s="529"/>
      <c r="G69" s="530"/>
      <c r="I69" s="521" t="s">
        <v>229</v>
      </c>
      <c r="J69" s="504"/>
      <c r="K69" s="505"/>
      <c r="L69" s="511"/>
      <c r="M69" s="532"/>
      <c r="N69" s="532"/>
      <c r="O69" s="532"/>
      <c r="P69" s="532"/>
      <c r="Q69" s="532"/>
      <c r="R69" s="532"/>
      <c r="S69" s="532"/>
      <c r="T69" s="532"/>
      <c r="U69" s="532"/>
      <c r="V69" s="532"/>
      <c r="W69" s="532"/>
      <c r="X69" s="532"/>
      <c r="Y69" s="532"/>
      <c r="Z69" s="532"/>
      <c r="AA69" s="532"/>
      <c r="AC69" s="240"/>
      <c r="AD69" s="240"/>
      <c r="AE69" s="2" t="s">
        <v>230</v>
      </c>
      <c r="AF69" s="241"/>
      <c r="AG69" s="241">
        <v>2</v>
      </c>
      <c r="AH69" s="241">
        <v>2</v>
      </c>
      <c r="AO69" s="370" t="s">
        <v>189</v>
      </c>
      <c r="AP69" s="370" t="s">
        <v>231</v>
      </c>
      <c r="AQ69" s="370" t="s">
        <v>232</v>
      </c>
      <c r="AR69" s="370" t="s">
        <v>118</v>
      </c>
      <c r="AS69" s="370" t="s">
        <v>119</v>
      </c>
      <c r="AT69" s="370" t="s">
        <v>120</v>
      </c>
    </row>
    <row r="70" spans="2:46" ht="13.5" thickBot="1" x14ac:dyDescent="0.45">
      <c r="B70" s="371"/>
      <c r="C70" s="372"/>
      <c r="D70" s="656" t="s">
        <v>233</v>
      </c>
      <c r="E70" s="657"/>
      <c r="F70" s="656" t="s">
        <v>234</v>
      </c>
      <c r="G70" s="657"/>
      <c r="I70" s="373"/>
      <c r="J70" s="374"/>
      <c r="K70" s="375" t="s">
        <v>161</v>
      </c>
      <c r="L70" s="376" t="s">
        <v>235</v>
      </c>
      <c r="M70" s="540"/>
      <c r="N70" s="540"/>
      <c r="O70" s="540"/>
      <c r="P70" s="540"/>
      <c r="Q70" s="540"/>
      <c r="R70" s="540"/>
      <c r="S70" s="540"/>
      <c r="T70" s="540"/>
      <c r="U70" s="540"/>
      <c r="V70" s="540"/>
      <c r="W70" s="540"/>
      <c r="X70" s="540"/>
      <c r="Y70" s="540"/>
      <c r="Z70" s="540"/>
      <c r="AA70" s="540"/>
      <c r="AC70" s="240"/>
      <c r="AD70" s="240"/>
      <c r="AE70" s="2" t="s">
        <v>236</v>
      </c>
      <c r="AF70" s="241"/>
      <c r="AG70" s="241">
        <v>1</v>
      </c>
      <c r="AH70" s="241">
        <v>1</v>
      </c>
      <c r="AO70" s="377" t="s">
        <v>194</v>
      </c>
      <c r="AP70" s="377" t="s">
        <v>237</v>
      </c>
      <c r="AQ70" s="2" t="s">
        <v>238</v>
      </c>
      <c r="AR70" s="241">
        <v>7</v>
      </c>
      <c r="AS70" s="241">
        <v>10</v>
      </c>
      <c r="AT70" s="241">
        <v>17</v>
      </c>
    </row>
    <row r="71" spans="2:46" ht="13.9" thickTop="1" thickBot="1" x14ac:dyDescent="0.45">
      <c r="B71" s="349"/>
      <c r="C71" s="378"/>
      <c r="D71" s="379" t="s">
        <v>161</v>
      </c>
      <c r="E71" s="380" t="s">
        <v>162</v>
      </c>
      <c r="F71" s="379" t="s">
        <v>161</v>
      </c>
      <c r="G71" s="380" t="s">
        <v>162</v>
      </c>
      <c r="I71" s="33" t="s">
        <v>239</v>
      </c>
      <c r="J71" s="23"/>
      <c r="K71" s="381">
        <v>23</v>
      </c>
      <c r="L71" s="382">
        <f t="shared" ref="L71:L76" si="6">K71/K$85</f>
        <v>5.623471882640587E-2</v>
      </c>
      <c r="M71" s="541"/>
      <c r="N71" s="541"/>
      <c r="O71" s="541"/>
      <c r="P71" s="541"/>
      <c r="Q71" s="541"/>
      <c r="R71" s="541"/>
      <c r="S71" s="541"/>
      <c r="T71" s="541"/>
      <c r="U71" s="541"/>
      <c r="V71" s="541"/>
      <c r="W71" s="541"/>
      <c r="X71" s="541"/>
      <c r="Y71" s="541"/>
      <c r="Z71" s="541"/>
      <c r="AA71" s="541"/>
      <c r="AC71" s="240"/>
      <c r="AD71" s="240"/>
      <c r="AE71" s="2" t="s">
        <v>240</v>
      </c>
      <c r="AF71" s="241">
        <v>1</v>
      </c>
      <c r="AG71" s="241">
        <v>1</v>
      </c>
      <c r="AH71" s="241">
        <v>2</v>
      </c>
      <c r="AJ71" s="234" t="s">
        <v>241</v>
      </c>
      <c r="AK71" s="234" t="s">
        <v>242</v>
      </c>
      <c r="AL71" s="234" t="s">
        <v>243</v>
      </c>
      <c r="AO71" s="383"/>
      <c r="AP71" s="377"/>
      <c r="AQ71" s="2" t="s">
        <v>244</v>
      </c>
      <c r="AR71" s="241">
        <v>2</v>
      </c>
      <c r="AS71" s="241"/>
      <c r="AT71" s="241">
        <v>2</v>
      </c>
    </row>
    <row r="72" spans="2:46" x14ac:dyDescent="0.4">
      <c r="B72" s="384" t="s">
        <v>245</v>
      </c>
      <c r="C72" s="385"/>
      <c r="D72" s="386">
        <v>2</v>
      </c>
      <c r="E72" s="387">
        <f t="shared" ref="E72:E80" si="7">D72/D$114</f>
        <v>4.7281323877068557E-3</v>
      </c>
      <c r="F72" s="386">
        <v>7</v>
      </c>
      <c r="G72" s="387">
        <f t="shared" ref="G72:G80" si="8">F72/F$114</f>
        <v>1.7902813299232736E-2</v>
      </c>
      <c r="I72" s="33" t="s">
        <v>246</v>
      </c>
      <c r="J72" s="23"/>
      <c r="K72" s="381">
        <v>13</v>
      </c>
      <c r="L72" s="382">
        <f t="shared" si="6"/>
        <v>3.1784841075794622E-2</v>
      </c>
      <c r="M72" s="541"/>
      <c r="N72" s="541"/>
      <c r="O72" s="541"/>
      <c r="P72" s="541"/>
      <c r="Q72" s="541"/>
      <c r="R72" s="541"/>
      <c r="S72" s="541"/>
      <c r="T72" s="541"/>
      <c r="U72" s="541"/>
      <c r="V72" s="541"/>
      <c r="W72" s="541"/>
      <c r="X72" s="541"/>
      <c r="Y72" s="541"/>
      <c r="Z72" s="541"/>
      <c r="AA72" s="541"/>
      <c r="AC72" s="240"/>
      <c r="AD72" s="240"/>
      <c r="AE72" s="2" t="s">
        <v>247</v>
      </c>
      <c r="AF72" s="241">
        <v>1</v>
      </c>
      <c r="AG72" s="241"/>
      <c r="AH72" s="241">
        <v>1</v>
      </c>
      <c r="AJ72" s="2" t="s">
        <v>248</v>
      </c>
      <c r="AK72" s="241">
        <v>8</v>
      </c>
      <c r="AL72" s="241">
        <v>5</v>
      </c>
      <c r="AO72" s="383"/>
      <c r="AP72" s="388" t="s">
        <v>249</v>
      </c>
      <c r="AQ72" s="388"/>
      <c r="AR72" s="389">
        <v>9</v>
      </c>
      <c r="AS72" s="389">
        <v>10</v>
      </c>
      <c r="AT72" s="389">
        <v>19</v>
      </c>
    </row>
    <row r="73" spans="2:46" x14ac:dyDescent="0.4">
      <c r="B73" s="390" t="s">
        <v>250</v>
      </c>
      <c r="C73" s="391"/>
      <c r="D73" s="392">
        <f>6-1</f>
        <v>5</v>
      </c>
      <c r="E73" s="387">
        <f t="shared" si="7"/>
        <v>1.1820330969267139E-2</v>
      </c>
      <c r="F73" s="386">
        <v>5</v>
      </c>
      <c r="G73" s="387">
        <f t="shared" si="8"/>
        <v>1.278772378516624E-2</v>
      </c>
      <c r="I73" s="33" t="s">
        <v>251</v>
      </c>
      <c r="J73" s="23"/>
      <c r="K73" s="381">
        <v>0</v>
      </c>
      <c r="L73" s="382">
        <f t="shared" si="6"/>
        <v>0</v>
      </c>
      <c r="M73" s="541"/>
      <c r="N73" s="541"/>
      <c r="O73" s="541"/>
      <c r="P73" s="541"/>
      <c r="Q73" s="541"/>
      <c r="R73" s="541"/>
      <c r="S73" s="541"/>
      <c r="T73" s="541"/>
      <c r="U73" s="541"/>
      <c r="V73" s="541"/>
      <c r="W73" s="541"/>
      <c r="X73" s="541"/>
      <c r="Y73" s="541"/>
      <c r="Z73" s="541"/>
      <c r="AA73" s="541"/>
      <c r="AC73" s="240"/>
      <c r="AD73" s="240"/>
      <c r="AE73" s="2" t="s">
        <v>252</v>
      </c>
      <c r="AF73" s="241">
        <v>1</v>
      </c>
      <c r="AG73" s="241"/>
      <c r="AH73" s="241">
        <v>1</v>
      </c>
      <c r="AJ73" s="2" t="s">
        <v>253</v>
      </c>
      <c r="AK73" s="241">
        <v>4</v>
      </c>
      <c r="AL73" s="241">
        <v>6</v>
      </c>
      <c r="AO73" s="383"/>
      <c r="AP73" s="377" t="s">
        <v>254</v>
      </c>
      <c r="AQ73" s="2" t="s">
        <v>255</v>
      </c>
      <c r="AR73" s="241">
        <v>9</v>
      </c>
      <c r="AS73" s="241">
        <v>11</v>
      </c>
      <c r="AT73" s="241">
        <v>20</v>
      </c>
    </row>
    <row r="74" spans="2:46" x14ac:dyDescent="0.4">
      <c r="B74" s="393" t="s">
        <v>256</v>
      </c>
      <c r="C74" s="394"/>
      <c r="D74" s="395">
        <f>10-1</f>
        <v>9</v>
      </c>
      <c r="E74" s="396">
        <f t="shared" si="7"/>
        <v>2.1276595744680851E-2</v>
      </c>
      <c r="F74" s="386">
        <v>6</v>
      </c>
      <c r="G74" s="396">
        <f t="shared" si="8"/>
        <v>1.5345268542199489E-2</v>
      </c>
      <c r="I74" s="33" t="s">
        <v>257</v>
      </c>
      <c r="J74" s="23"/>
      <c r="K74" s="381">
        <v>19</v>
      </c>
      <c r="L74" s="382">
        <f t="shared" si="6"/>
        <v>4.6454767726161368E-2</v>
      </c>
      <c r="M74" s="541"/>
      <c r="N74" s="541"/>
      <c r="O74" s="541"/>
      <c r="P74" s="541"/>
      <c r="Q74" s="541"/>
      <c r="R74" s="541"/>
      <c r="S74" s="541"/>
      <c r="T74" s="541"/>
      <c r="U74" s="541"/>
      <c r="V74" s="541"/>
      <c r="W74" s="541"/>
      <c r="X74" s="541"/>
      <c r="Y74" s="541"/>
      <c r="Z74" s="541"/>
      <c r="AA74" s="541"/>
      <c r="AC74" s="240"/>
      <c r="AD74" s="240"/>
      <c r="AE74" s="2" t="s">
        <v>258</v>
      </c>
      <c r="AF74" s="241">
        <v>1</v>
      </c>
      <c r="AG74" s="241">
        <v>1</v>
      </c>
      <c r="AH74" s="241">
        <v>2</v>
      </c>
      <c r="AJ74" s="2" t="s">
        <v>259</v>
      </c>
      <c r="AK74" s="241">
        <v>8</v>
      </c>
      <c r="AL74" s="241">
        <v>4</v>
      </c>
      <c r="AO74" s="383"/>
      <c r="AP74" s="377"/>
      <c r="AQ74" s="2" t="s">
        <v>260</v>
      </c>
      <c r="AR74" s="241">
        <v>7</v>
      </c>
      <c r="AS74" s="241">
        <v>7</v>
      </c>
      <c r="AT74" s="241">
        <v>14</v>
      </c>
    </row>
    <row r="75" spans="2:46" x14ac:dyDescent="0.4">
      <c r="B75" s="390" t="s">
        <v>261</v>
      </c>
      <c r="C75" s="391"/>
      <c r="D75" s="386">
        <v>3</v>
      </c>
      <c r="E75" s="387">
        <f t="shared" si="7"/>
        <v>7.0921985815602835E-3</v>
      </c>
      <c r="F75" s="386">
        <v>9</v>
      </c>
      <c r="G75" s="387">
        <f t="shared" si="8"/>
        <v>2.3017902813299233E-2</v>
      </c>
      <c r="I75" s="33" t="s">
        <v>262</v>
      </c>
      <c r="J75" s="23"/>
      <c r="K75" s="381">
        <v>11</v>
      </c>
      <c r="L75" s="382">
        <f t="shared" si="6"/>
        <v>2.6894865525672371E-2</v>
      </c>
      <c r="M75" s="541"/>
      <c r="N75" s="541"/>
      <c r="O75" s="541"/>
      <c r="P75" s="541"/>
      <c r="Q75" s="541"/>
      <c r="R75" s="541"/>
      <c r="S75" s="541"/>
      <c r="T75" s="541"/>
      <c r="U75" s="541"/>
      <c r="V75" s="541"/>
      <c r="W75" s="541"/>
      <c r="X75" s="541"/>
      <c r="Y75" s="541"/>
      <c r="Z75" s="541"/>
      <c r="AA75" s="541"/>
      <c r="AC75" s="240"/>
      <c r="AD75" s="240"/>
      <c r="AE75" s="2" t="s">
        <v>263</v>
      </c>
      <c r="AF75" s="241"/>
      <c r="AG75" s="241">
        <v>2</v>
      </c>
      <c r="AH75" s="241">
        <v>2</v>
      </c>
      <c r="AJ75" s="2" t="s">
        <v>264</v>
      </c>
      <c r="AK75" s="241">
        <v>11</v>
      </c>
      <c r="AL75" s="241">
        <v>8</v>
      </c>
      <c r="AO75" s="383"/>
      <c r="AP75" s="377"/>
      <c r="AQ75" s="2" t="s">
        <v>265</v>
      </c>
      <c r="AR75" s="241"/>
      <c r="AS75" s="241">
        <v>1</v>
      </c>
      <c r="AT75" s="241">
        <v>1</v>
      </c>
    </row>
    <row r="76" spans="2:46" ht="13.5" thickBot="1" x14ac:dyDescent="0.45">
      <c r="B76" s="390" t="s">
        <v>266</v>
      </c>
      <c r="C76" s="391"/>
      <c r="D76" s="392">
        <v>1</v>
      </c>
      <c r="E76" s="387">
        <f t="shared" si="7"/>
        <v>2.3640661938534278E-3</v>
      </c>
      <c r="F76" s="386">
        <v>3</v>
      </c>
      <c r="G76" s="387">
        <f t="shared" si="8"/>
        <v>7.6726342710997444E-3</v>
      </c>
      <c r="I76" s="397" t="s">
        <v>267</v>
      </c>
      <c r="J76" s="398"/>
      <c r="K76" s="399">
        <f>SUM(K71:K75)</f>
        <v>66</v>
      </c>
      <c r="L76" s="400">
        <f t="shared" si="6"/>
        <v>0.16136919315403422</v>
      </c>
      <c r="M76" s="542"/>
      <c r="N76" s="542"/>
      <c r="O76" s="542"/>
      <c r="P76" s="542"/>
      <c r="Q76" s="542"/>
      <c r="R76" s="542"/>
      <c r="S76" s="542"/>
      <c r="T76" s="542"/>
      <c r="U76" s="542"/>
      <c r="V76" s="542"/>
      <c r="W76" s="542"/>
      <c r="X76" s="542"/>
      <c r="Y76" s="542"/>
      <c r="Z76" s="542"/>
      <c r="AA76" s="542"/>
      <c r="AC76" s="240"/>
      <c r="AD76" s="240"/>
      <c r="AE76" s="2" t="s">
        <v>268</v>
      </c>
      <c r="AF76" s="241"/>
      <c r="AG76" s="241">
        <v>1</v>
      </c>
      <c r="AH76" s="241">
        <v>1</v>
      </c>
      <c r="AJ76" s="2" t="s">
        <v>269</v>
      </c>
      <c r="AK76" s="241">
        <v>2</v>
      </c>
      <c r="AL76" s="241">
        <v>2</v>
      </c>
      <c r="AO76" s="383"/>
      <c r="AP76" s="377"/>
      <c r="AQ76" s="2" t="s">
        <v>238</v>
      </c>
      <c r="AR76" s="241">
        <v>4</v>
      </c>
      <c r="AS76" s="241">
        <v>3</v>
      </c>
      <c r="AT76" s="241">
        <v>7</v>
      </c>
    </row>
    <row r="77" spans="2:46" ht="13.9" thickTop="1" thickBot="1" x14ac:dyDescent="0.45">
      <c r="B77" s="393" t="s">
        <v>270</v>
      </c>
      <c r="C77" s="394"/>
      <c r="D77" s="395">
        <v>1</v>
      </c>
      <c r="E77" s="396">
        <f t="shared" si="7"/>
        <v>2.3640661938534278E-3</v>
      </c>
      <c r="F77" s="386"/>
      <c r="G77" s="396">
        <f t="shared" si="8"/>
        <v>0</v>
      </c>
      <c r="I77" s="401"/>
      <c r="J77" s="402"/>
      <c r="K77" s="403"/>
      <c r="L77" s="404"/>
      <c r="M77" s="543"/>
      <c r="N77" s="543"/>
      <c r="O77" s="543"/>
      <c r="P77" s="543"/>
      <c r="Q77" s="543"/>
      <c r="R77" s="543"/>
      <c r="S77" s="543"/>
      <c r="T77" s="543"/>
      <c r="U77" s="543"/>
      <c r="V77" s="543"/>
      <c r="W77" s="543"/>
      <c r="X77" s="543"/>
      <c r="Y77" s="543"/>
      <c r="Z77" s="543"/>
      <c r="AA77" s="543"/>
      <c r="AC77" s="240"/>
      <c r="AD77" s="240"/>
      <c r="AE77" s="2" t="s">
        <v>271</v>
      </c>
      <c r="AF77" s="241"/>
      <c r="AG77" s="241">
        <v>2</v>
      </c>
      <c r="AH77" s="241">
        <v>2</v>
      </c>
      <c r="AJ77" s="2" t="s">
        <v>272</v>
      </c>
      <c r="AK77" s="241">
        <v>2</v>
      </c>
      <c r="AL77" s="241">
        <v>2</v>
      </c>
      <c r="AO77" s="383"/>
      <c r="AP77" s="377"/>
      <c r="AQ77" s="2" t="s">
        <v>273</v>
      </c>
      <c r="AR77" s="241">
        <v>4</v>
      </c>
      <c r="AS77" s="241">
        <v>7</v>
      </c>
      <c r="AT77" s="241">
        <v>11</v>
      </c>
    </row>
    <row r="78" spans="2:46" ht="13.9" thickTop="1" thickBot="1" x14ac:dyDescent="0.45">
      <c r="B78" s="390" t="s">
        <v>51</v>
      </c>
      <c r="C78" s="391"/>
      <c r="D78" s="386">
        <v>5</v>
      </c>
      <c r="E78" s="387">
        <f t="shared" si="7"/>
        <v>1.1820330969267139E-2</v>
      </c>
      <c r="F78" s="386">
        <f>4+2</f>
        <v>6</v>
      </c>
      <c r="G78" s="387">
        <f t="shared" si="8"/>
        <v>1.5345268542199489E-2</v>
      </c>
      <c r="I78" s="397" t="s">
        <v>274</v>
      </c>
      <c r="J78" s="398"/>
      <c r="K78" s="399">
        <v>312</v>
      </c>
      <c r="L78" s="400">
        <f>K78/K$85</f>
        <v>0.76283618581907087</v>
      </c>
      <c r="M78" s="542"/>
      <c r="N78" s="542"/>
      <c r="O78" s="542"/>
      <c r="P78" s="542"/>
      <c r="Q78" s="542"/>
      <c r="R78" s="542"/>
      <c r="S78" s="542"/>
      <c r="T78" s="542"/>
      <c r="U78" s="542"/>
      <c r="V78" s="542"/>
      <c r="W78" s="542"/>
      <c r="X78" s="542"/>
      <c r="Y78" s="542"/>
      <c r="Z78" s="542"/>
      <c r="AA78" s="542"/>
      <c r="AC78" s="240"/>
      <c r="AD78" s="240"/>
      <c r="AE78" s="2" t="s">
        <v>275</v>
      </c>
      <c r="AF78" s="241"/>
      <c r="AG78" s="241">
        <v>2</v>
      </c>
      <c r="AH78" s="241">
        <v>2</v>
      </c>
      <c r="AJ78" s="2" t="s">
        <v>276</v>
      </c>
      <c r="AK78" s="241">
        <v>6</v>
      </c>
      <c r="AL78" s="241">
        <v>9</v>
      </c>
      <c r="AO78" s="383"/>
      <c r="AP78" s="377"/>
      <c r="AQ78" s="2" t="s">
        <v>277</v>
      </c>
      <c r="AR78" s="241">
        <v>148</v>
      </c>
      <c r="AS78" s="241">
        <v>174</v>
      </c>
      <c r="AT78" s="241">
        <v>322</v>
      </c>
    </row>
    <row r="79" spans="2:46" ht="13.9" thickTop="1" thickBot="1" x14ac:dyDescent="0.45">
      <c r="B79" s="390" t="s">
        <v>278</v>
      </c>
      <c r="C79" s="391"/>
      <c r="D79" s="392">
        <v>3</v>
      </c>
      <c r="E79" s="387">
        <f t="shared" si="7"/>
        <v>7.0921985815602835E-3</v>
      </c>
      <c r="F79" s="386">
        <v>6</v>
      </c>
      <c r="G79" s="387">
        <f t="shared" si="8"/>
        <v>1.5345268542199489E-2</v>
      </c>
      <c r="I79" s="405"/>
      <c r="J79" s="402"/>
      <c r="K79" s="406"/>
      <c r="L79" s="407"/>
      <c r="M79" s="543"/>
      <c r="N79" s="543"/>
      <c r="O79" s="543"/>
      <c r="P79" s="543"/>
      <c r="Q79" s="543"/>
      <c r="R79" s="543"/>
      <c r="S79" s="543"/>
      <c r="T79" s="543"/>
      <c r="U79" s="543"/>
      <c r="V79" s="543"/>
      <c r="W79" s="543"/>
      <c r="X79" s="543"/>
      <c r="Y79" s="543"/>
      <c r="Z79" s="543"/>
      <c r="AA79" s="543"/>
      <c r="AC79" s="240"/>
      <c r="AD79" s="240"/>
      <c r="AE79" s="2" t="s">
        <v>279</v>
      </c>
      <c r="AF79" s="241">
        <v>1</v>
      </c>
      <c r="AG79" s="241"/>
      <c r="AH79" s="241">
        <v>1</v>
      </c>
      <c r="AJ79" s="2" t="s">
        <v>280</v>
      </c>
      <c r="AK79" s="241">
        <v>9</v>
      </c>
      <c r="AL79" s="241">
        <v>5</v>
      </c>
      <c r="AO79" s="383"/>
      <c r="AP79" s="377"/>
      <c r="AQ79" s="2" t="s">
        <v>244</v>
      </c>
      <c r="AR79" s="241">
        <v>6</v>
      </c>
      <c r="AS79" s="241">
        <v>2</v>
      </c>
      <c r="AT79" s="241">
        <v>8</v>
      </c>
    </row>
    <row r="80" spans="2:46" ht="13.9" thickTop="1" thickBot="1" x14ac:dyDescent="0.45">
      <c r="B80" s="393" t="s">
        <v>281</v>
      </c>
      <c r="C80" s="394"/>
      <c r="D80" s="395">
        <v>5</v>
      </c>
      <c r="E80" s="396">
        <f t="shared" si="7"/>
        <v>1.1820330969267139E-2</v>
      </c>
      <c r="F80" s="386">
        <v>1</v>
      </c>
      <c r="G80" s="396">
        <f t="shared" si="8"/>
        <v>2.5575447570332483E-3</v>
      </c>
      <c r="I80" s="397" t="s">
        <v>282</v>
      </c>
      <c r="J80" s="398"/>
      <c r="K80" s="399">
        <v>32</v>
      </c>
      <c r="L80" s="400">
        <f>SUM(K81:K82,K84)/K$85</f>
        <v>7.5794621026894868E-2</v>
      </c>
      <c r="M80" s="542"/>
      <c r="N80" s="542"/>
      <c r="O80" s="542"/>
      <c r="P80" s="542"/>
      <c r="Q80" s="542"/>
      <c r="R80" s="542"/>
      <c r="S80" s="542"/>
      <c r="T80" s="542"/>
      <c r="U80" s="542"/>
      <c r="V80" s="542"/>
      <c r="W80" s="542"/>
      <c r="X80" s="542"/>
      <c r="Y80" s="542"/>
      <c r="Z80" s="542"/>
      <c r="AA80" s="542"/>
      <c r="AC80" s="240"/>
      <c r="AD80" s="240"/>
      <c r="AE80" s="2" t="s">
        <v>283</v>
      </c>
      <c r="AF80" s="241"/>
      <c r="AG80" s="241">
        <v>1</v>
      </c>
      <c r="AH80" s="241">
        <v>1</v>
      </c>
      <c r="AO80" s="408"/>
      <c r="AP80" s="388" t="s">
        <v>284</v>
      </c>
      <c r="AQ80" s="388"/>
      <c r="AR80" s="389">
        <v>178</v>
      </c>
      <c r="AS80" s="389">
        <v>205</v>
      </c>
      <c r="AT80" s="389">
        <v>383</v>
      </c>
    </row>
    <row r="81" spans="1:47" ht="13.5" thickTop="1" x14ac:dyDescent="0.4">
      <c r="B81" s="409"/>
      <c r="C81" s="410"/>
      <c r="D81" s="411"/>
      <c r="E81" s="412"/>
      <c r="F81" s="413"/>
      <c r="G81" s="412"/>
      <c r="I81" s="33"/>
      <c r="J81" s="23" t="s">
        <v>257</v>
      </c>
      <c r="K81" s="381">
        <v>25</v>
      </c>
      <c r="L81" s="382"/>
      <c r="M81" s="541"/>
      <c r="N81" s="541"/>
      <c r="O81" s="541"/>
      <c r="P81" s="541"/>
      <c r="Q81" s="541"/>
      <c r="R81" s="541"/>
      <c r="S81" s="541"/>
      <c r="T81" s="541"/>
      <c r="U81" s="541"/>
      <c r="V81" s="541"/>
      <c r="W81" s="541"/>
      <c r="X81" s="541"/>
      <c r="Y81" s="541"/>
      <c r="Z81" s="541"/>
      <c r="AA81" s="541"/>
      <c r="AC81" s="240"/>
      <c r="AD81" s="240"/>
      <c r="AE81" s="2" t="s">
        <v>285</v>
      </c>
      <c r="AF81" s="241">
        <v>1</v>
      </c>
      <c r="AG81" s="241"/>
      <c r="AH81" s="241">
        <v>1</v>
      </c>
      <c r="AO81" s="414" t="s">
        <v>286</v>
      </c>
      <c r="AP81" s="414"/>
      <c r="AQ81" s="414"/>
      <c r="AR81" s="415">
        <v>187</v>
      </c>
      <c r="AS81" s="415">
        <v>215</v>
      </c>
      <c r="AT81" s="415">
        <v>402</v>
      </c>
    </row>
    <row r="82" spans="1:47" ht="13.5" thickBot="1" x14ac:dyDescent="0.45">
      <c r="B82" s="416" t="s">
        <v>287</v>
      </c>
      <c r="C82" s="417"/>
      <c r="D82" s="418">
        <f>SUM(D72:D80)</f>
        <v>34</v>
      </c>
      <c r="E82" s="419">
        <f>D82/D$114</f>
        <v>8.0378250591016553E-2</v>
      </c>
      <c r="F82" s="420">
        <f>SUM(F72:F80)</f>
        <v>43</v>
      </c>
      <c r="G82" s="419">
        <f>F82/F$114</f>
        <v>0.10997442455242967</v>
      </c>
      <c r="I82" s="421"/>
      <c r="J82" s="23" t="s">
        <v>246</v>
      </c>
      <c r="K82" s="422">
        <v>3</v>
      </c>
      <c r="L82" s="423"/>
      <c r="M82" s="543"/>
      <c r="N82" s="543"/>
      <c r="O82" s="543"/>
      <c r="P82" s="543"/>
      <c r="Q82" s="543"/>
      <c r="R82" s="543"/>
      <c r="S82" s="543"/>
      <c r="T82" s="543"/>
      <c r="U82" s="543"/>
      <c r="V82" s="543"/>
      <c r="W82" s="543"/>
      <c r="X82" s="543"/>
      <c r="Y82" s="543"/>
      <c r="Z82" s="543"/>
      <c r="AA82" s="543"/>
      <c r="AC82" s="240"/>
      <c r="AD82" s="240"/>
      <c r="AE82" s="2" t="s">
        <v>289</v>
      </c>
      <c r="AF82" s="241"/>
      <c r="AG82" s="241">
        <v>1</v>
      </c>
      <c r="AH82" s="241">
        <v>1</v>
      </c>
    </row>
    <row r="83" spans="1:47" ht="13.5" thickTop="1" x14ac:dyDescent="0.4">
      <c r="B83" s="424"/>
      <c r="C83" s="425"/>
      <c r="D83" s="426"/>
      <c r="E83" s="427"/>
      <c r="F83" s="428"/>
      <c r="G83" s="427"/>
      <c r="I83" s="33"/>
      <c r="J83" s="23" t="s">
        <v>213</v>
      </c>
      <c r="K83" s="516">
        <v>1</v>
      </c>
      <c r="L83" s="59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C83" s="240"/>
      <c r="AD83" s="240"/>
      <c r="AE83" s="2" t="s">
        <v>291</v>
      </c>
      <c r="AF83" s="241"/>
      <c r="AG83" s="241">
        <v>2</v>
      </c>
      <c r="AH83" s="241">
        <v>2</v>
      </c>
    </row>
    <row r="84" spans="1:47" x14ac:dyDescent="0.4">
      <c r="B84" s="390" t="s">
        <v>292</v>
      </c>
      <c r="C84" s="391"/>
      <c r="D84" s="386">
        <f>51-5</f>
        <v>46</v>
      </c>
      <c r="E84" s="387">
        <f t="shared" ref="E84:E90" si="9">D84/D$114</f>
        <v>0.10874704491725769</v>
      </c>
      <c r="F84" s="386">
        <v>39</v>
      </c>
      <c r="G84" s="387">
        <f t="shared" ref="G84:G90" si="10">F84/F$114</f>
        <v>9.9744245524296671E-2</v>
      </c>
      <c r="I84" s="33"/>
      <c r="J84" s="23" t="s">
        <v>458</v>
      </c>
      <c r="K84" s="516">
        <v>3</v>
      </c>
      <c r="L84" s="59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C84" s="240"/>
      <c r="AD84" s="240" t="s">
        <v>237</v>
      </c>
      <c r="AE84" s="2" t="s">
        <v>294</v>
      </c>
      <c r="AF84" s="241">
        <v>1</v>
      </c>
      <c r="AG84" s="241"/>
      <c r="AH84" s="241">
        <v>1</v>
      </c>
      <c r="AJ84" s="2" t="s">
        <v>295</v>
      </c>
      <c r="AK84" s="241">
        <v>40</v>
      </c>
      <c r="AL84" s="241">
        <v>35</v>
      </c>
    </row>
    <row r="85" spans="1:47" ht="13.5" thickBot="1" x14ac:dyDescent="0.45">
      <c r="B85" s="390" t="s">
        <v>55</v>
      </c>
      <c r="C85" s="391"/>
      <c r="D85" s="392">
        <f>33-2-1</f>
        <v>30</v>
      </c>
      <c r="E85" s="387">
        <f t="shared" si="9"/>
        <v>7.0921985815602842E-2</v>
      </c>
      <c r="F85" s="386">
        <f>2+14+1+1+3+1</f>
        <v>22</v>
      </c>
      <c r="G85" s="387">
        <f t="shared" si="10"/>
        <v>5.6265984654731455E-2</v>
      </c>
      <c r="I85" s="517" t="s">
        <v>290</v>
      </c>
      <c r="J85" s="518"/>
      <c r="K85" s="519">
        <f>SUM(K71:K75,K78,K81:K82,K84)</f>
        <v>409</v>
      </c>
      <c r="L85" s="520">
        <f>K85/K$85</f>
        <v>1</v>
      </c>
      <c r="M85" s="544"/>
      <c r="N85" s="544"/>
      <c r="O85" s="544"/>
      <c r="P85" s="544"/>
      <c r="Q85" s="544"/>
      <c r="R85" s="544"/>
      <c r="S85" s="544"/>
      <c r="T85" s="544"/>
      <c r="U85" s="544"/>
      <c r="V85" s="544"/>
      <c r="W85" s="544"/>
      <c r="X85" s="544"/>
      <c r="Y85" s="544"/>
      <c r="Z85" s="544"/>
      <c r="AA85" s="544"/>
      <c r="AC85" s="240"/>
      <c r="AD85" s="240"/>
      <c r="AE85" s="2" t="s">
        <v>297</v>
      </c>
      <c r="AF85" s="241">
        <v>6</v>
      </c>
      <c r="AG85" s="241">
        <v>5</v>
      </c>
      <c r="AH85" s="241">
        <v>11</v>
      </c>
      <c r="AJ85" s="2" t="s">
        <v>298</v>
      </c>
      <c r="AK85" s="241">
        <v>20</v>
      </c>
      <c r="AL85" s="241">
        <v>17</v>
      </c>
    </row>
    <row r="86" spans="1:47" ht="13.5" thickBot="1" x14ac:dyDescent="0.45">
      <c r="B86" s="393" t="s">
        <v>299</v>
      </c>
      <c r="C86" s="394"/>
      <c r="D86" s="395">
        <v>12</v>
      </c>
      <c r="E86" s="396">
        <f t="shared" si="9"/>
        <v>2.8368794326241134E-2</v>
      </c>
      <c r="F86" s="386">
        <f>5+5</f>
        <v>10</v>
      </c>
      <c r="G86" s="396">
        <f t="shared" si="10"/>
        <v>2.557544757033248E-2</v>
      </c>
      <c r="I86" s="373" t="s">
        <v>293</v>
      </c>
      <c r="J86" s="433"/>
      <c r="K86" s="434">
        <f>13+K83</f>
        <v>14</v>
      </c>
      <c r="L86" s="374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372"/>
      <c r="Z86" s="372"/>
      <c r="AA86" s="372"/>
      <c r="AC86" s="240"/>
      <c r="AD86" s="240"/>
      <c r="AE86" s="2" t="s">
        <v>300</v>
      </c>
      <c r="AF86" s="241"/>
      <c r="AG86" s="241">
        <v>1</v>
      </c>
      <c r="AH86" s="241">
        <v>1</v>
      </c>
      <c r="AJ86" s="2" t="s">
        <v>301</v>
      </c>
      <c r="AK86" s="241">
        <v>14</v>
      </c>
      <c r="AL86" s="241">
        <v>13</v>
      </c>
    </row>
    <row r="87" spans="1:47" ht="13.9" thickTop="1" thickBot="1" x14ac:dyDescent="0.45">
      <c r="B87" s="390" t="s">
        <v>302</v>
      </c>
      <c r="C87" s="391"/>
      <c r="D87" s="386">
        <f>14-1</f>
        <v>13</v>
      </c>
      <c r="E87" s="387">
        <f t="shared" si="9"/>
        <v>3.0732860520094562E-2</v>
      </c>
      <c r="F87" s="386">
        <v>5</v>
      </c>
      <c r="G87" s="387">
        <f t="shared" si="10"/>
        <v>1.278772378516624E-2</v>
      </c>
      <c r="H87" s="170"/>
      <c r="I87" s="429" t="s">
        <v>296</v>
      </c>
      <c r="J87" s="430"/>
      <c r="K87" s="435">
        <f>SUM(K85:K86)</f>
        <v>423</v>
      </c>
      <c r="L87" s="436"/>
      <c r="M87" s="545"/>
      <c r="N87" s="545"/>
      <c r="O87" s="545"/>
      <c r="P87" s="545"/>
      <c r="Q87" s="545"/>
      <c r="R87" s="545"/>
      <c r="S87" s="545"/>
      <c r="T87" s="545"/>
      <c r="U87" s="545"/>
      <c r="V87" s="545"/>
      <c r="W87" s="545"/>
      <c r="X87" s="545"/>
      <c r="Y87" s="545"/>
      <c r="Z87" s="545"/>
      <c r="AA87" s="545"/>
      <c r="AC87" s="240"/>
      <c r="AD87" s="240"/>
      <c r="AE87" s="2" t="s">
        <v>303</v>
      </c>
      <c r="AF87" s="241">
        <v>1</v>
      </c>
      <c r="AG87" s="241">
        <v>3</v>
      </c>
      <c r="AH87" s="241">
        <v>4</v>
      </c>
      <c r="AJ87" s="2" t="s">
        <v>304</v>
      </c>
      <c r="AK87" s="241">
        <v>9</v>
      </c>
      <c r="AL87" s="241">
        <v>5</v>
      </c>
      <c r="AQ87" s="2" t="s">
        <v>305</v>
      </c>
      <c r="AR87" s="2" t="s">
        <v>306</v>
      </c>
    </row>
    <row r="88" spans="1:47" x14ac:dyDescent="0.4">
      <c r="B88" s="390" t="s">
        <v>307</v>
      </c>
      <c r="C88" s="391"/>
      <c r="D88" s="392">
        <f>27-1</f>
        <v>26</v>
      </c>
      <c r="E88" s="387">
        <f t="shared" si="9"/>
        <v>6.1465721040189124E-2</v>
      </c>
      <c r="F88" s="386">
        <v>17</v>
      </c>
      <c r="G88" s="387">
        <f t="shared" si="10"/>
        <v>4.3478260869565216E-2</v>
      </c>
      <c r="AC88" s="240"/>
      <c r="AD88" s="240"/>
      <c r="AE88" s="2" t="s">
        <v>308</v>
      </c>
      <c r="AF88" s="241">
        <v>2</v>
      </c>
      <c r="AG88" s="241"/>
      <c r="AH88" s="241">
        <v>2</v>
      </c>
      <c r="AJ88" s="2" t="s">
        <v>309</v>
      </c>
      <c r="AK88" s="241">
        <v>19</v>
      </c>
      <c r="AL88" s="241">
        <v>13</v>
      </c>
      <c r="AQ88" s="2">
        <v>391</v>
      </c>
      <c r="AR88" s="2" t="s">
        <v>43</v>
      </c>
      <c r="AT88" s="2">
        <v>2</v>
      </c>
      <c r="AU88" s="437" t="s">
        <v>310</v>
      </c>
    </row>
    <row r="89" spans="1:47" ht="13.5" thickBot="1" x14ac:dyDescent="0.45">
      <c r="A89" s="2">
        <v>10</v>
      </c>
      <c r="B89" s="393" t="s">
        <v>311</v>
      </c>
      <c r="C89" s="394"/>
      <c r="D89" s="395">
        <f>13-1</f>
        <v>12</v>
      </c>
      <c r="E89" s="396">
        <f t="shared" si="9"/>
        <v>2.8368794326241134E-2</v>
      </c>
      <c r="F89" s="386">
        <v>10</v>
      </c>
      <c r="G89" s="396">
        <f t="shared" si="10"/>
        <v>2.557544757033248E-2</v>
      </c>
      <c r="AC89" s="240"/>
      <c r="AD89" s="240"/>
      <c r="AE89" s="2" t="s">
        <v>312</v>
      </c>
      <c r="AF89" s="241">
        <v>1</v>
      </c>
      <c r="AG89" s="241"/>
      <c r="AH89" s="241">
        <v>1</v>
      </c>
      <c r="AJ89" s="2" t="s">
        <v>313</v>
      </c>
      <c r="AK89" s="241">
        <v>7</v>
      </c>
      <c r="AL89" s="241">
        <v>5</v>
      </c>
      <c r="AQ89" s="2">
        <v>52</v>
      </c>
      <c r="AR89" s="437" t="s">
        <v>314</v>
      </c>
      <c r="AT89" s="2">
        <v>2</v>
      </c>
      <c r="AU89" s="437" t="s">
        <v>315</v>
      </c>
    </row>
    <row r="90" spans="1:47" ht="14.65" thickBot="1" x14ac:dyDescent="0.5">
      <c r="B90" s="390" t="s">
        <v>316</v>
      </c>
      <c r="C90" s="391"/>
      <c r="D90" s="57"/>
      <c r="E90" s="387">
        <f t="shared" si="9"/>
        <v>0</v>
      </c>
      <c r="F90" s="438"/>
      <c r="G90" s="387">
        <f t="shared" si="10"/>
        <v>0</v>
      </c>
      <c r="I90" s="521" t="s">
        <v>317</v>
      </c>
      <c r="J90" s="504"/>
      <c r="K90" s="505"/>
      <c r="L90" s="511"/>
      <c r="M90" s="532"/>
      <c r="N90" s="532"/>
      <c r="O90" s="532"/>
      <c r="P90" s="532"/>
      <c r="Q90" s="532"/>
      <c r="R90" s="532"/>
      <c r="S90" s="532"/>
      <c r="T90" s="532"/>
      <c r="U90" s="532"/>
      <c r="V90" s="532"/>
      <c r="W90" s="532"/>
      <c r="X90" s="532"/>
      <c r="Y90" s="532"/>
      <c r="Z90" s="532"/>
      <c r="AA90" s="532"/>
      <c r="AC90" s="240"/>
      <c r="AD90" s="240"/>
      <c r="AE90" s="2" t="s">
        <v>318</v>
      </c>
      <c r="AF90" s="241">
        <v>1</v>
      </c>
      <c r="AG90" s="241"/>
      <c r="AH90" s="241">
        <v>1</v>
      </c>
      <c r="AQ90" s="2">
        <v>25</v>
      </c>
      <c r="AR90" s="437" t="s">
        <v>319</v>
      </c>
      <c r="AT90" s="2">
        <v>2</v>
      </c>
      <c r="AU90" s="437" t="s">
        <v>320</v>
      </c>
    </row>
    <row r="91" spans="1:47" ht="13.5" thickBot="1" x14ac:dyDescent="0.45">
      <c r="B91" s="409"/>
      <c r="C91" s="410"/>
      <c r="D91" s="411"/>
      <c r="E91" s="412"/>
      <c r="F91" s="413"/>
      <c r="G91" s="412"/>
      <c r="I91" s="10"/>
      <c r="J91" s="439"/>
      <c r="K91" s="440" t="s">
        <v>161</v>
      </c>
      <c r="L91" s="441" t="s">
        <v>162</v>
      </c>
      <c r="M91" s="540"/>
      <c r="N91" s="540"/>
      <c r="O91" s="540"/>
      <c r="P91" s="540"/>
      <c r="Q91" s="540"/>
      <c r="R91" s="540"/>
      <c r="S91" s="540"/>
      <c r="T91" s="540"/>
      <c r="U91" s="540"/>
      <c r="V91" s="540"/>
      <c r="W91" s="540"/>
      <c r="X91" s="540"/>
      <c r="Y91" s="540"/>
      <c r="Z91" s="540"/>
      <c r="AA91" s="540"/>
      <c r="AC91" s="263"/>
      <c r="AD91" s="240"/>
      <c r="AE91" s="2" t="s">
        <v>321</v>
      </c>
      <c r="AF91" s="241">
        <v>1</v>
      </c>
      <c r="AG91" s="241">
        <v>2</v>
      </c>
      <c r="AH91" s="241">
        <v>3</v>
      </c>
      <c r="AQ91" s="2">
        <v>24</v>
      </c>
      <c r="AR91" s="437" t="s">
        <v>322</v>
      </c>
      <c r="AT91" s="2">
        <v>1</v>
      </c>
      <c r="AU91" s="437" t="s">
        <v>323</v>
      </c>
    </row>
    <row r="92" spans="1:47" ht="13.5" thickBot="1" x14ac:dyDescent="0.45">
      <c r="B92" s="416" t="s">
        <v>324</v>
      </c>
      <c r="C92" s="417"/>
      <c r="D92" s="418">
        <f>SUM(D84:D90)</f>
        <v>139</v>
      </c>
      <c r="E92" s="419">
        <f>D92/D$114</f>
        <v>0.32860520094562645</v>
      </c>
      <c r="F92" s="420">
        <f>SUM(F84:F90)</f>
        <v>103</v>
      </c>
      <c r="G92" s="419">
        <f>F92/F$114</f>
        <v>0.26342710997442453</v>
      </c>
      <c r="H92" s="171"/>
      <c r="I92" s="442" t="s">
        <v>459</v>
      </c>
      <c r="J92" s="443"/>
      <c r="K92" s="381">
        <v>1</v>
      </c>
      <c r="L92" s="382">
        <f t="shared" ref="L92:L104" si="11">K92/K$117</f>
        <v>4.2016806722689074E-3</v>
      </c>
      <c r="M92" s="541"/>
      <c r="N92" s="541"/>
      <c r="O92" s="541"/>
      <c r="P92" s="541"/>
      <c r="Q92" s="541"/>
      <c r="R92" s="541"/>
      <c r="S92" s="541"/>
      <c r="T92" s="541"/>
      <c r="U92" s="541"/>
      <c r="V92" s="541"/>
      <c r="W92" s="541"/>
      <c r="X92" s="541"/>
      <c r="Y92" s="541"/>
      <c r="Z92" s="541"/>
      <c r="AA92" s="541"/>
      <c r="AC92" s="266" t="s">
        <v>286</v>
      </c>
      <c r="AD92" s="266"/>
      <c r="AE92" s="266"/>
      <c r="AF92" s="267">
        <v>187</v>
      </c>
      <c r="AG92" s="267">
        <v>215</v>
      </c>
      <c r="AH92" s="267">
        <v>402</v>
      </c>
      <c r="AQ92" s="2">
        <v>22</v>
      </c>
      <c r="AR92" s="437" t="s">
        <v>326</v>
      </c>
      <c r="AT92" s="2">
        <v>1</v>
      </c>
      <c r="AU92" s="437" t="s">
        <v>327</v>
      </c>
    </row>
    <row r="93" spans="1:47" ht="13.5" thickTop="1" x14ac:dyDescent="0.4">
      <c r="B93" s="33"/>
      <c r="C93" s="171"/>
      <c r="D93" s="57"/>
      <c r="E93" s="444"/>
      <c r="F93" s="438"/>
      <c r="G93" s="444"/>
      <c r="H93" s="171"/>
      <c r="I93" s="33" t="s">
        <v>325</v>
      </c>
      <c r="J93" s="23"/>
      <c r="K93" s="381">
        <v>1</v>
      </c>
      <c r="L93" s="382">
        <f t="shared" si="11"/>
        <v>4.2016806722689074E-3</v>
      </c>
      <c r="M93" s="541"/>
      <c r="N93" s="541"/>
      <c r="O93" s="541"/>
      <c r="P93" s="541"/>
      <c r="Q93" s="541"/>
      <c r="R93" s="541"/>
      <c r="S93" s="541"/>
      <c r="T93" s="541"/>
      <c r="U93" s="541"/>
      <c r="V93" s="541"/>
      <c r="W93" s="541"/>
      <c r="X93" s="541"/>
      <c r="Y93" s="541"/>
      <c r="Z93" s="541"/>
      <c r="AA93" s="541"/>
      <c r="AQ93" s="2">
        <v>19</v>
      </c>
      <c r="AR93" s="437" t="s">
        <v>329</v>
      </c>
      <c r="AT93" s="2">
        <v>1</v>
      </c>
      <c r="AU93" s="437" t="s">
        <v>330</v>
      </c>
    </row>
    <row r="94" spans="1:47" x14ac:dyDescent="0.4">
      <c r="B94" s="390" t="s">
        <v>331</v>
      </c>
      <c r="C94" s="391"/>
      <c r="D94" s="386">
        <f>16-1</f>
        <v>15</v>
      </c>
      <c r="E94" s="387">
        <f t="shared" ref="E94:E101" si="12">D94/D$114</f>
        <v>3.5460992907801421E-2</v>
      </c>
      <c r="F94" s="386"/>
      <c r="G94" s="387">
        <f t="shared" ref="G94:G101" si="13">F94/F$114</f>
        <v>0</v>
      </c>
      <c r="H94" s="171"/>
      <c r="I94" s="33" t="s">
        <v>420</v>
      </c>
      <c r="J94" s="23"/>
      <c r="K94" s="381">
        <v>2</v>
      </c>
      <c r="L94" s="382">
        <f t="shared" si="11"/>
        <v>8.4033613445378148E-3</v>
      </c>
      <c r="M94" s="541"/>
      <c r="N94" s="541"/>
      <c r="O94" s="541"/>
      <c r="P94" s="541"/>
      <c r="Q94" s="541"/>
      <c r="R94" s="541"/>
      <c r="S94" s="541"/>
      <c r="T94" s="541"/>
      <c r="U94" s="541"/>
      <c r="V94" s="541"/>
      <c r="W94" s="541"/>
      <c r="X94" s="541"/>
      <c r="Y94" s="541"/>
      <c r="Z94" s="541"/>
      <c r="AA94" s="541"/>
      <c r="AC94" s="234" t="s">
        <v>189</v>
      </c>
      <c r="AD94" s="234" t="s">
        <v>333</v>
      </c>
      <c r="AE94" s="234" t="s">
        <v>118</v>
      </c>
      <c r="AF94" s="234" t="s">
        <v>119</v>
      </c>
      <c r="AG94" s="234" t="s">
        <v>120</v>
      </c>
      <c r="AJ94" s="2" t="s">
        <v>334</v>
      </c>
      <c r="AK94" s="241">
        <v>9</v>
      </c>
      <c r="AL94" s="241"/>
      <c r="AN94" s="2">
        <v>1</v>
      </c>
      <c r="AO94" s="2" t="s">
        <v>325</v>
      </c>
      <c r="AQ94" s="2">
        <v>19</v>
      </c>
      <c r="AR94" s="437" t="s">
        <v>335</v>
      </c>
      <c r="AT94" s="2">
        <v>1</v>
      </c>
      <c r="AU94" s="437" t="s">
        <v>336</v>
      </c>
    </row>
    <row r="95" spans="1:47" x14ac:dyDescent="0.4">
      <c r="B95" s="390" t="s">
        <v>337</v>
      </c>
      <c r="C95" s="391"/>
      <c r="D95" s="392">
        <f>75-2</f>
        <v>73</v>
      </c>
      <c r="E95" s="387">
        <f t="shared" si="12"/>
        <v>0.17257683215130024</v>
      </c>
      <c r="F95" s="386"/>
      <c r="G95" s="387">
        <f t="shared" si="13"/>
        <v>0</v>
      </c>
      <c r="H95" s="171"/>
      <c r="I95" s="33" t="s">
        <v>328</v>
      </c>
      <c r="J95" s="23"/>
      <c r="K95" s="381">
        <v>14</v>
      </c>
      <c r="L95" s="382">
        <f t="shared" si="11"/>
        <v>5.8823529411764705E-2</v>
      </c>
      <c r="M95" s="541"/>
      <c r="N95" s="541"/>
      <c r="O95" s="541"/>
      <c r="P95" s="541"/>
      <c r="Q95" s="541"/>
      <c r="R95" s="541"/>
      <c r="S95" s="541"/>
      <c r="T95" s="541"/>
      <c r="U95" s="541"/>
      <c r="V95" s="541"/>
      <c r="W95" s="541"/>
      <c r="X95" s="541"/>
      <c r="Y95" s="541"/>
      <c r="Z95" s="541"/>
      <c r="AA95" s="541"/>
      <c r="AC95" s="240" t="s">
        <v>194</v>
      </c>
      <c r="AD95" s="2" t="s">
        <v>328</v>
      </c>
      <c r="AE95" s="241">
        <v>5</v>
      </c>
      <c r="AF95" s="241">
        <v>4</v>
      </c>
      <c r="AG95" s="241">
        <v>9</v>
      </c>
      <c r="AJ95" s="2" t="s">
        <v>339</v>
      </c>
      <c r="AK95" s="241">
        <v>77</v>
      </c>
      <c r="AL95" s="241"/>
      <c r="AN95" s="2">
        <v>1</v>
      </c>
      <c r="AO95" s="2" t="s">
        <v>328</v>
      </c>
      <c r="AQ95" s="2">
        <v>18</v>
      </c>
      <c r="AR95" s="437" t="s">
        <v>340</v>
      </c>
      <c r="AT95" s="2">
        <v>1</v>
      </c>
      <c r="AU95" s="437" t="s">
        <v>341</v>
      </c>
    </row>
    <row r="96" spans="1:47" x14ac:dyDescent="0.4">
      <c r="B96" s="393" t="s">
        <v>342</v>
      </c>
      <c r="C96" s="394"/>
      <c r="D96" s="395">
        <f>35-3</f>
        <v>32</v>
      </c>
      <c r="E96" s="396">
        <f t="shared" si="12"/>
        <v>7.5650118203309691E-2</v>
      </c>
      <c r="F96" s="386">
        <f>95+2</f>
        <v>97</v>
      </c>
      <c r="G96" s="396">
        <f t="shared" si="13"/>
        <v>0.24808184143222506</v>
      </c>
      <c r="I96" s="33" t="s">
        <v>332</v>
      </c>
      <c r="J96" s="23"/>
      <c r="K96" s="381">
        <v>7</v>
      </c>
      <c r="L96" s="382">
        <f t="shared" si="11"/>
        <v>2.9411764705882353E-2</v>
      </c>
      <c r="M96" s="541"/>
      <c r="N96" s="541"/>
      <c r="O96" s="541"/>
      <c r="P96" s="541"/>
      <c r="Q96" s="541"/>
      <c r="R96" s="541"/>
      <c r="S96" s="541"/>
      <c r="T96" s="541"/>
      <c r="U96" s="541"/>
      <c r="V96" s="541"/>
      <c r="W96" s="541"/>
      <c r="X96" s="541"/>
      <c r="Y96" s="541"/>
      <c r="Z96" s="541"/>
      <c r="AA96" s="541"/>
      <c r="AC96" s="240"/>
      <c r="AD96" s="2" t="s">
        <v>332</v>
      </c>
      <c r="AE96" s="241">
        <v>4</v>
      </c>
      <c r="AF96" s="241">
        <v>4</v>
      </c>
      <c r="AG96" s="241">
        <v>8</v>
      </c>
      <c r="AJ96" s="2" t="s">
        <v>344</v>
      </c>
      <c r="AK96" s="241">
        <v>45</v>
      </c>
      <c r="AL96" s="241">
        <v>105</v>
      </c>
      <c r="AN96" s="2">
        <v>2</v>
      </c>
      <c r="AO96" s="2" t="s">
        <v>328</v>
      </c>
      <c r="AQ96" s="2">
        <v>16</v>
      </c>
      <c r="AR96" s="437" t="s">
        <v>345</v>
      </c>
      <c r="AT96" s="2">
        <v>1</v>
      </c>
      <c r="AU96" s="437" t="s">
        <v>346</v>
      </c>
    </row>
    <row r="97" spans="2:47" x14ac:dyDescent="0.4">
      <c r="B97" s="390" t="s">
        <v>347</v>
      </c>
      <c r="C97" s="391"/>
      <c r="D97" s="386">
        <f>13-1</f>
        <v>12</v>
      </c>
      <c r="E97" s="387">
        <f t="shared" si="12"/>
        <v>2.8368794326241134E-2</v>
      </c>
      <c r="F97" s="386">
        <v>25</v>
      </c>
      <c r="G97" s="387">
        <f t="shared" si="13"/>
        <v>6.3938618925831206E-2</v>
      </c>
      <c r="I97" s="33" t="s">
        <v>380</v>
      </c>
      <c r="J97" s="23"/>
      <c r="K97" s="381">
        <v>5</v>
      </c>
      <c r="L97" s="382">
        <f t="shared" si="11"/>
        <v>2.100840336134454E-2</v>
      </c>
      <c r="M97" s="541"/>
      <c r="N97" s="541"/>
      <c r="O97" s="541"/>
      <c r="P97" s="541"/>
      <c r="Q97" s="541"/>
      <c r="R97" s="541"/>
      <c r="S97" s="541"/>
      <c r="T97" s="541"/>
      <c r="U97" s="541"/>
      <c r="V97" s="541"/>
      <c r="W97" s="541"/>
      <c r="X97" s="541"/>
      <c r="Y97" s="541"/>
      <c r="Z97" s="541"/>
      <c r="AA97" s="541"/>
      <c r="AC97" s="240"/>
      <c r="AD97" s="2" t="s">
        <v>349</v>
      </c>
      <c r="AE97" s="241">
        <v>10</v>
      </c>
      <c r="AF97" s="241">
        <v>17</v>
      </c>
      <c r="AG97" s="241">
        <v>27</v>
      </c>
      <c r="AJ97" s="2" t="s">
        <v>350</v>
      </c>
      <c r="AK97" s="241">
        <v>14</v>
      </c>
      <c r="AL97" s="241">
        <v>36</v>
      </c>
      <c r="AN97" s="2">
        <v>3</v>
      </c>
      <c r="AO97" s="2" t="s">
        <v>328</v>
      </c>
      <c r="AQ97" s="2">
        <v>14</v>
      </c>
      <c r="AR97" s="437" t="s">
        <v>351</v>
      </c>
      <c r="AT97" s="2">
        <v>1</v>
      </c>
      <c r="AU97" s="437" t="s">
        <v>352</v>
      </c>
    </row>
    <row r="98" spans="2:47" x14ac:dyDescent="0.4">
      <c r="B98" s="390" t="s">
        <v>353</v>
      </c>
      <c r="C98" s="391"/>
      <c r="D98" s="392">
        <v>55</v>
      </c>
      <c r="E98" s="387">
        <f t="shared" si="12"/>
        <v>0.13002364066193853</v>
      </c>
      <c r="F98" s="386">
        <f>41+3</f>
        <v>44</v>
      </c>
      <c r="G98" s="387">
        <f t="shared" si="13"/>
        <v>0.11253196930946291</v>
      </c>
      <c r="I98" s="33" t="s">
        <v>349</v>
      </c>
      <c r="J98" s="23"/>
      <c r="K98" s="381">
        <v>41</v>
      </c>
      <c r="L98" s="382">
        <f t="shared" si="11"/>
        <v>0.17226890756302521</v>
      </c>
      <c r="M98" s="541"/>
      <c r="N98" s="541"/>
      <c r="O98" s="541"/>
      <c r="P98" s="541"/>
      <c r="Q98" s="541"/>
      <c r="R98" s="541"/>
      <c r="S98" s="541"/>
      <c r="T98" s="541"/>
      <c r="U98" s="541"/>
      <c r="V98" s="541"/>
      <c r="W98" s="541"/>
      <c r="X98" s="541"/>
      <c r="Y98" s="541"/>
      <c r="Z98" s="541"/>
      <c r="AA98" s="541"/>
      <c r="AC98" s="240"/>
      <c r="AD98" s="2" t="s">
        <v>343</v>
      </c>
      <c r="AE98" s="241">
        <v>2</v>
      </c>
      <c r="AF98" s="241">
        <v>7</v>
      </c>
      <c r="AG98" s="241">
        <v>9</v>
      </c>
      <c r="AJ98" s="2" t="s">
        <v>355</v>
      </c>
      <c r="AK98" s="241">
        <v>45</v>
      </c>
      <c r="AL98" s="241">
        <v>49</v>
      </c>
      <c r="AN98" s="2">
        <v>4</v>
      </c>
      <c r="AO98" s="2" t="s">
        <v>328</v>
      </c>
      <c r="AQ98" s="2">
        <v>12</v>
      </c>
      <c r="AR98" s="437" t="s">
        <v>356</v>
      </c>
      <c r="AT98" s="2">
        <v>1</v>
      </c>
      <c r="AU98" s="437" t="s">
        <v>357</v>
      </c>
    </row>
    <row r="99" spans="2:47" x14ac:dyDescent="0.4">
      <c r="B99" s="393" t="s">
        <v>358</v>
      </c>
      <c r="C99" s="394"/>
      <c r="D99" s="395">
        <v>8</v>
      </c>
      <c r="E99" s="396">
        <f t="shared" si="12"/>
        <v>1.8912529550827423E-2</v>
      </c>
      <c r="F99" s="386">
        <v>8</v>
      </c>
      <c r="G99" s="396">
        <f t="shared" si="13"/>
        <v>2.0460358056265986E-2</v>
      </c>
      <c r="I99" s="33" t="s">
        <v>460</v>
      </c>
      <c r="J99" s="23"/>
      <c r="K99" s="381">
        <v>1</v>
      </c>
      <c r="L99" s="382">
        <f t="shared" si="11"/>
        <v>4.2016806722689074E-3</v>
      </c>
      <c r="M99" s="541"/>
      <c r="N99" s="541"/>
      <c r="O99" s="541"/>
      <c r="P99" s="541"/>
      <c r="Q99" s="541"/>
      <c r="R99" s="541"/>
      <c r="S99" s="541"/>
      <c r="T99" s="541"/>
      <c r="U99" s="541"/>
      <c r="V99" s="541"/>
      <c r="W99" s="541"/>
      <c r="X99" s="541"/>
      <c r="Y99" s="541"/>
      <c r="Z99" s="541"/>
      <c r="AA99" s="541"/>
      <c r="AC99" s="240"/>
      <c r="AD99" s="2" t="s">
        <v>348</v>
      </c>
      <c r="AE99" s="241">
        <v>1</v>
      </c>
      <c r="AF99" s="241">
        <v>5</v>
      </c>
      <c r="AG99" s="241">
        <v>6</v>
      </c>
      <c r="AJ99" s="2" t="s">
        <v>360</v>
      </c>
      <c r="AK99" s="241">
        <v>7</v>
      </c>
      <c r="AL99" s="241">
        <v>5</v>
      </c>
      <c r="AN99" s="2">
        <v>5</v>
      </c>
      <c r="AO99" s="2" t="s">
        <v>328</v>
      </c>
      <c r="AQ99" s="2">
        <v>10</v>
      </c>
      <c r="AR99" s="437" t="s">
        <v>361</v>
      </c>
      <c r="AT99" s="2">
        <v>1</v>
      </c>
      <c r="AU99" s="437" t="s">
        <v>362</v>
      </c>
    </row>
    <row r="100" spans="2:47" x14ac:dyDescent="0.4">
      <c r="B100" s="390" t="s">
        <v>363</v>
      </c>
      <c r="C100" s="391"/>
      <c r="D100" s="386">
        <f>26-2</f>
        <v>24</v>
      </c>
      <c r="E100" s="387">
        <f t="shared" si="12"/>
        <v>5.6737588652482268E-2</v>
      </c>
      <c r="F100" s="386">
        <v>17</v>
      </c>
      <c r="G100" s="387">
        <f t="shared" si="13"/>
        <v>4.3478260869565216E-2</v>
      </c>
      <c r="I100" s="33" t="s">
        <v>343</v>
      </c>
      <c r="J100" s="23"/>
      <c r="K100" s="381">
        <v>7</v>
      </c>
      <c r="L100" s="382">
        <f t="shared" si="11"/>
        <v>2.9411764705882353E-2</v>
      </c>
      <c r="M100" s="541"/>
      <c r="N100" s="541"/>
      <c r="O100" s="541"/>
      <c r="P100" s="541"/>
      <c r="Q100" s="541"/>
      <c r="R100" s="541"/>
      <c r="S100" s="541"/>
      <c r="T100" s="541"/>
      <c r="U100" s="541"/>
      <c r="V100" s="541"/>
      <c r="W100" s="541"/>
      <c r="X100" s="541"/>
      <c r="Y100" s="541"/>
      <c r="Z100" s="541"/>
      <c r="AA100" s="541"/>
      <c r="AC100" s="240"/>
      <c r="AD100" s="2" t="s">
        <v>354</v>
      </c>
      <c r="AE100" s="241">
        <v>9</v>
      </c>
      <c r="AF100" s="241">
        <v>12</v>
      </c>
      <c r="AG100" s="241">
        <v>21</v>
      </c>
      <c r="AJ100" s="2" t="s">
        <v>365</v>
      </c>
      <c r="AK100" s="241">
        <v>18</v>
      </c>
      <c r="AL100" s="241">
        <v>16</v>
      </c>
      <c r="AN100" s="2">
        <v>6</v>
      </c>
      <c r="AO100" s="2" t="s">
        <v>328</v>
      </c>
      <c r="AQ100" s="2">
        <v>9</v>
      </c>
      <c r="AR100" s="437" t="s">
        <v>366</v>
      </c>
      <c r="AT100" s="2">
        <v>1</v>
      </c>
      <c r="AU100" s="437" t="s">
        <v>367</v>
      </c>
    </row>
    <row r="101" spans="2:47" x14ac:dyDescent="0.4">
      <c r="B101" s="390" t="s">
        <v>368</v>
      </c>
      <c r="C101" s="391"/>
      <c r="D101" s="392"/>
      <c r="E101" s="387">
        <f t="shared" si="12"/>
        <v>0</v>
      </c>
      <c r="F101" s="386"/>
      <c r="G101" s="387">
        <f t="shared" si="13"/>
        <v>0</v>
      </c>
      <c r="I101" s="33" t="s">
        <v>348</v>
      </c>
      <c r="J101" s="23"/>
      <c r="K101" s="381">
        <v>5</v>
      </c>
      <c r="L101" s="382">
        <f t="shared" si="11"/>
        <v>2.100840336134454E-2</v>
      </c>
      <c r="M101" s="541"/>
      <c r="N101" s="541"/>
      <c r="O101" s="541"/>
      <c r="P101" s="541"/>
      <c r="Q101" s="541"/>
      <c r="R101" s="541"/>
      <c r="S101" s="541"/>
      <c r="T101" s="541"/>
      <c r="U101" s="541"/>
      <c r="V101" s="541"/>
      <c r="W101" s="541"/>
      <c r="X101" s="541"/>
      <c r="Y101" s="541"/>
      <c r="Z101" s="541"/>
      <c r="AA101" s="541"/>
      <c r="AC101" s="240"/>
      <c r="AD101" s="2" t="s">
        <v>364</v>
      </c>
      <c r="AE101" s="241">
        <v>12</v>
      </c>
      <c r="AF101" s="241">
        <v>16</v>
      </c>
      <c r="AG101" s="241">
        <v>28</v>
      </c>
      <c r="AN101" s="2">
        <v>7</v>
      </c>
      <c r="AO101" s="2" t="s">
        <v>328</v>
      </c>
      <c r="AQ101" s="2">
        <v>8</v>
      </c>
      <c r="AR101" s="437" t="s">
        <v>370</v>
      </c>
      <c r="AT101" s="2">
        <v>1</v>
      </c>
      <c r="AU101" s="437" t="s">
        <v>371</v>
      </c>
    </row>
    <row r="102" spans="2:47" x14ac:dyDescent="0.4">
      <c r="B102" s="409"/>
      <c r="C102" s="410"/>
      <c r="D102" s="411"/>
      <c r="E102" s="412"/>
      <c r="F102" s="413"/>
      <c r="G102" s="412"/>
      <c r="I102" s="33" t="s">
        <v>408</v>
      </c>
      <c r="J102" s="23"/>
      <c r="K102" s="381">
        <v>1</v>
      </c>
      <c r="L102" s="382">
        <f t="shared" si="11"/>
        <v>4.2016806722689074E-3</v>
      </c>
      <c r="M102" s="541"/>
      <c r="N102" s="541"/>
      <c r="O102" s="541"/>
      <c r="P102" s="541"/>
      <c r="Q102" s="541"/>
      <c r="R102" s="541"/>
      <c r="S102" s="541"/>
      <c r="T102" s="541"/>
      <c r="U102" s="541"/>
      <c r="V102" s="541"/>
      <c r="W102" s="541"/>
      <c r="X102" s="541"/>
      <c r="Y102" s="541"/>
      <c r="Z102" s="541"/>
      <c r="AA102" s="541"/>
      <c r="AC102" s="240"/>
      <c r="AD102" s="2" t="s">
        <v>369</v>
      </c>
      <c r="AE102" s="241">
        <v>2</v>
      </c>
      <c r="AF102" s="241">
        <v>2</v>
      </c>
      <c r="AG102" s="241">
        <v>4</v>
      </c>
      <c r="AN102" s="2">
        <v>8</v>
      </c>
      <c r="AO102" s="2" t="s">
        <v>328</v>
      </c>
      <c r="AQ102" s="2">
        <v>8</v>
      </c>
      <c r="AR102" s="437" t="s">
        <v>373</v>
      </c>
      <c r="AT102" s="2">
        <v>1</v>
      </c>
      <c r="AU102" s="437" t="s">
        <v>374</v>
      </c>
    </row>
    <row r="103" spans="2:47" ht="13.5" thickBot="1" x14ac:dyDescent="0.45">
      <c r="B103" s="416" t="s">
        <v>375</v>
      </c>
      <c r="C103" s="417"/>
      <c r="D103" s="418">
        <f>SUM(D94:D101)</f>
        <v>219</v>
      </c>
      <c r="E103" s="419">
        <f>D103/D$114</f>
        <v>0.51773049645390068</v>
      </c>
      <c r="F103" s="420">
        <f>SUM(F94:F101)</f>
        <v>191</v>
      </c>
      <c r="G103" s="419">
        <f>F103/F$114</f>
        <v>0.48849104859335041</v>
      </c>
      <c r="I103" s="33" t="s">
        <v>461</v>
      </c>
      <c r="J103" s="23"/>
      <c r="K103" s="381">
        <v>1</v>
      </c>
      <c r="L103" s="382">
        <f t="shared" si="11"/>
        <v>4.2016806722689074E-3</v>
      </c>
      <c r="M103" s="541"/>
      <c r="N103" s="541"/>
      <c r="O103" s="541"/>
      <c r="P103" s="541"/>
      <c r="Q103" s="541"/>
      <c r="R103" s="541"/>
      <c r="S103" s="541"/>
      <c r="T103" s="541"/>
      <c r="U103" s="541"/>
      <c r="V103" s="541"/>
      <c r="W103" s="541"/>
      <c r="X103" s="541"/>
      <c r="Y103" s="541"/>
      <c r="Z103" s="541"/>
      <c r="AA103" s="541"/>
      <c r="AC103" s="240"/>
      <c r="AD103" s="2" t="s">
        <v>372</v>
      </c>
      <c r="AE103" s="241">
        <v>10</v>
      </c>
      <c r="AF103" s="241">
        <v>9</v>
      </c>
      <c r="AG103" s="241">
        <v>19</v>
      </c>
      <c r="AN103" s="2">
        <v>1</v>
      </c>
      <c r="AO103" s="2" t="s">
        <v>332</v>
      </c>
      <c r="AQ103" s="2">
        <v>7</v>
      </c>
      <c r="AR103" s="437" t="s">
        <v>377</v>
      </c>
      <c r="AT103" s="2">
        <v>1</v>
      </c>
      <c r="AU103" s="437" t="s">
        <v>378</v>
      </c>
    </row>
    <row r="104" spans="2:47" ht="13.5" thickTop="1" x14ac:dyDescent="0.4">
      <c r="B104" s="424"/>
      <c r="C104" s="425"/>
      <c r="D104" s="426"/>
      <c r="E104" s="427"/>
      <c r="F104" s="428"/>
      <c r="G104" s="427"/>
      <c r="I104" s="33" t="s">
        <v>405</v>
      </c>
      <c r="J104" s="23"/>
      <c r="K104" s="381">
        <v>8</v>
      </c>
      <c r="L104" s="382">
        <f t="shared" si="11"/>
        <v>3.3613445378151259E-2</v>
      </c>
      <c r="M104" s="541"/>
      <c r="N104" s="541"/>
      <c r="O104" s="541"/>
      <c r="P104" s="541"/>
      <c r="Q104" s="541"/>
      <c r="R104" s="541"/>
      <c r="S104" s="541"/>
      <c r="T104" s="541"/>
      <c r="U104" s="541"/>
      <c r="V104" s="541"/>
      <c r="W104" s="541"/>
      <c r="X104" s="541"/>
      <c r="Y104" s="541"/>
      <c r="Z104" s="541"/>
      <c r="AA104" s="541"/>
      <c r="AC104" s="240"/>
      <c r="AD104" s="2" t="s">
        <v>376</v>
      </c>
      <c r="AE104" s="241"/>
      <c r="AF104" s="241">
        <v>1</v>
      </c>
      <c r="AG104" s="241">
        <v>1</v>
      </c>
      <c r="AN104" s="2">
        <v>1</v>
      </c>
      <c r="AO104" s="2" t="s">
        <v>380</v>
      </c>
      <c r="AQ104" s="2">
        <v>7</v>
      </c>
      <c r="AR104" s="437" t="s">
        <v>381</v>
      </c>
      <c r="AT104" s="2">
        <v>1</v>
      </c>
      <c r="AU104" s="437" t="s">
        <v>382</v>
      </c>
    </row>
    <row r="105" spans="2:47" x14ac:dyDescent="0.4">
      <c r="B105" s="390" t="s">
        <v>383</v>
      </c>
      <c r="C105" s="391"/>
      <c r="D105" s="386">
        <v>4</v>
      </c>
      <c r="E105" s="387">
        <f>D105/D$114</f>
        <v>9.4562647754137114E-3</v>
      </c>
      <c r="F105" s="386">
        <v>7</v>
      </c>
      <c r="G105" s="387">
        <f>F105/F$114</f>
        <v>1.7902813299232736E-2</v>
      </c>
      <c r="H105" s="171"/>
      <c r="I105" s="33" t="s">
        <v>354</v>
      </c>
      <c r="J105" s="23"/>
      <c r="K105" s="381">
        <v>20</v>
      </c>
      <c r="L105" s="382"/>
      <c r="M105" s="541"/>
      <c r="N105" s="541"/>
      <c r="O105" s="541"/>
      <c r="P105" s="541"/>
      <c r="Q105" s="541"/>
      <c r="R105" s="541"/>
      <c r="S105" s="541"/>
      <c r="T105" s="541"/>
      <c r="U105" s="541"/>
      <c r="V105" s="541"/>
      <c r="W105" s="541"/>
      <c r="X105" s="541"/>
      <c r="Y105" s="541"/>
      <c r="Z105" s="541"/>
      <c r="AA105" s="541"/>
      <c r="AC105" s="240"/>
      <c r="AD105" s="2" t="s">
        <v>385</v>
      </c>
      <c r="AE105" s="241">
        <v>1</v>
      </c>
      <c r="AF105" s="241">
        <v>1</v>
      </c>
      <c r="AG105" s="241">
        <v>2</v>
      </c>
      <c r="AJ105" s="2" t="s">
        <v>386</v>
      </c>
      <c r="AK105" s="241">
        <v>5</v>
      </c>
      <c r="AL105" s="241">
        <v>4</v>
      </c>
      <c r="AN105" s="2">
        <v>1</v>
      </c>
      <c r="AO105" s="2" t="s">
        <v>349</v>
      </c>
      <c r="AQ105" s="2">
        <v>6</v>
      </c>
      <c r="AR105" s="437" t="s">
        <v>387</v>
      </c>
      <c r="AT105" s="2">
        <v>1</v>
      </c>
      <c r="AU105" s="437" t="s">
        <v>388</v>
      </c>
    </row>
    <row r="106" spans="2:47" x14ac:dyDescent="0.4">
      <c r="B106" s="390" t="s">
        <v>389</v>
      </c>
      <c r="C106" s="391"/>
      <c r="D106" s="392">
        <v>2</v>
      </c>
      <c r="E106" s="387">
        <f>D106/D$114</f>
        <v>4.7281323877068557E-3</v>
      </c>
      <c r="F106" s="386">
        <v>1</v>
      </c>
      <c r="G106" s="387">
        <f>F106/F$114</f>
        <v>2.5575447570332483E-3</v>
      </c>
      <c r="H106" s="171"/>
      <c r="I106" s="33" t="s">
        <v>359</v>
      </c>
      <c r="J106" s="23"/>
      <c r="K106" s="381">
        <v>1</v>
      </c>
      <c r="L106" s="382">
        <f>K106/K$117</f>
        <v>4.2016806722689074E-3</v>
      </c>
      <c r="M106" s="541"/>
      <c r="N106" s="541"/>
      <c r="O106" s="541"/>
      <c r="P106" s="541"/>
      <c r="Q106" s="541"/>
      <c r="R106" s="541"/>
      <c r="S106" s="541"/>
      <c r="T106" s="541"/>
      <c r="U106" s="541"/>
      <c r="V106" s="541"/>
      <c r="W106" s="541"/>
      <c r="X106" s="541"/>
      <c r="Y106" s="541"/>
      <c r="Z106" s="541"/>
      <c r="AA106" s="541"/>
      <c r="AC106" s="240"/>
      <c r="AD106" s="2" t="s">
        <v>391</v>
      </c>
      <c r="AE106" s="241">
        <v>4</v>
      </c>
      <c r="AF106" s="241">
        <v>1</v>
      </c>
      <c r="AG106" s="241">
        <v>5</v>
      </c>
      <c r="AJ106" s="2" t="s">
        <v>392</v>
      </c>
      <c r="AK106" s="241">
        <v>1</v>
      </c>
      <c r="AL106" s="241">
        <v>4</v>
      </c>
      <c r="AN106" s="2">
        <v>2</v>
      </c>
      <c r="AO106" s="2" t="s">
        <v>349</v>
      </c>
      <c r="AQ106" s="2">
        <v>6</v>
      </c>
      <c r="AR106" s="437" t="s">
        <v>393</v>
      </c>
      <c r="AT106" s="2">
        <v>1</v>
      </c>
      <c r="AU106" s="437" t="s">
        <v>394</v>
      </c>
    </row>
    <row r="107" spans="2:47" x14ac:dyDescent="0.4">
      <c r="B107" s="393" t="s">
        <v>395</v>
      </c>
      <c r="C107" s="394"/>
      <c r="D107" s="395"/>
      <c r="E107" s="396">
        <f>D107/D$114</f>
        <v>0</v>
      </c>
      <c r="F107" s="386"/>
      <c r="G107" s="396">
        <f>F107/F$114</f>
        <v>0</v>
      </c>
      <c r="H107" s="170"/>
      <c r="I107" s="33" t="s">
        <v>364</v>
      </c>
      <c r="J107" s="23"/>
      <c r="K107" s="381">
        <v>26</v>
      </c>
      <c r="L107" s="382">
        <f>K107/K$117</f>
        <v>0.1092436974789916</v>
      </c>
      <c r="M107" s="541"/>
      <c r="N107" s="541"/>
      <c r="O107" s="541"/>
      <c r="P107" s="541"/>
      <c r="Q107" s="541"/>
      <c r="R107" s="541"/>
      <c r="S107" s="541"/>
      <c r="T107" s="541"/>
      <c r="U107" s="541"/>
      <c r="V107" s="541"/>
      <c r="W107" s="541"/>
      <c r="X107" s="541"/>
      <c r="Y107" s="541"/>
      <c r="Z107" s="541"/>
      <c r="AA107" s="541"/>
      <c r="AC107" s="240"/>
      <c r="AD107" s="2" t="s">
        <v>390</v>
      </c>
      <c r="AE107" s="241">
        <v>1</v>
      </c>
      <c r="AF107" s="241"/>
      <c r="AG107" s="241">
        <v>1</v>
      </c>
      <c r="AN107" s="2">
        <v>3</v>
      </c>
      <c r="AO107" s="2" t="s">
        <v>349</v>
      </c>
      <c r="AQ107" s="2">
        <v>6</v>
      </c>
      <c r="AR107" s="437" t="s">
        <v>397</v>
      </c>
      <c r="AT107" s="2">
        <v>1</v>
      </c>
      <c r="AU107" s="437" t="s">
        <v>398</v>
      </c>
    </row>
    <row r="108" spans="2:47" x14ac:dyDescent="0.4">
      <c r="B108" s="390" t="s">
        <v>399</v>
      </c>
      <c r="C108" s="391"/>
      <c r="D108" s="392"/>
      <c r="E108" s="387">
        <f>D108/D$114</f>
        <v>0</v>
      </c>
      <c r="F108" s="386"/>
      <c r="G108" s="387">
        <f>F108/F$114</f>
        <v>0</v>
      </c>
      <c r="I108" s="33" t="s">
        <v>396</v>
      </c>
      <c r="J108" s="23"/>
      <c r="K108" s="381">
        <v>1</v>
      </c>
      <c r="L108" s="382"/>
      <c r="M108" s="541"/>
      <c r="N108" s="541"/>
      <c r="O108" s="541"/>
      <c r="P108" s="541"/>
      <c r="Q108" s="541"/>
      <c r="R108" s="541"/>
      <c r="S108" s="541"/>
      <c r="T108" s="541"/>
      <c r="U108" s="541"/>
      <c r="V108" s="541"/>
      <c r="W108" s="541"/>
      <c r="X108" s="541"/>
      <c r="Y108" s="541"/>
      <c r="Z108" s="541"/>
      <c r="AA108" s="541"/>
      <c r="AC108" s="240"/>
      <c r="AD108" s="2" t="s">
        <v>396</v>
      </c>
      <c r="AE108" s="241"/>
      <c r="AF108" s="241">
        <v>1</v>
      </c>
      <c r="AG108" s="241">
        <v>1</v>
      </c>
      <c r="AN108" s="2">
        <v>4</v>
      </c>
      <c r="AO108" s="2" t="s">
        <v>349</v>
      </c>
      <c r="AQ108" s="2">
        <v>6</v>
      </c>
      <c r="AR108" s="437" t="s">
        <v>212</v>
      </c>
      <c r="AT108" s="2">
        <v>1</v>
      </c>
      <c r="AU108" s="437" t="s">
        <v>401</v>
      </c>
    </row>
    <row r="109" spans="2:47" x14ac:dyDescent="0.4">
      <c r="B109" s="409"/>
      <c r="C109" s="410"/>
      <c r="D109" s="411"/>
      <c r="E109" s="412"/>
      <c r="F109" s="413"/>
      <c r="G109" s="412"/>
      <c r="I109" s="33" t="s">
        <v>416</v>
      </c>
      <c r="J109" s="23"/>
      <c r="K109" s="381">
        <v>2</v>
      </c>
      <c r="L109" s="382">
        <f>K109/K$117</f>
        <v>8.4033613445378148E-3</v>
      </c>
      <c r="M109" s="541"/>
      <c r="N109" s="541"/>
      <c r="O109" s="541"/>
      <c r="P109" s="541"/>
      <c r="Q109" s="541"/>
      <c r="R109" s="541"/>
      <c r="S109" s="541"/>
      <c r="T109" s="541"/>
      <c r="U109" s="541"/>
      <c r="V109" s="541"/>
      <c r="W109" s="541"/>
      <c r="X109" s="541"/>
      <c r="Y109" s="541"/>
      <c r="Z109" s="541"/>
      <c r="AA109" s="541"/>
      <c r="AC109" s="240"/>
      <c r="AD109" s="2" t="s">
        <v>400</v>
      </c>
      <c r="AE109" s="241">
        <v>48</v>
      </c>
      <c r="AF109" s="241">
        <v>38</v>
      </c>
      <c r="AG109" s="241">
        <v>86</v>
      </c>
      <c r="AN109" s="2">
        <v>5</v>
      </c>
      <c r="AO109" s="2" t="s">
        <v>349</v>
      </c>
      <c r="AQ109" s="2">
        <v>6</v>
      </c>
      <c r="AR109" s="437" t="s">
        <v>402</v>
      </c>
      <c r="AT109" s="2">
        <v>1</v>
      </c>
      <c r="AU109" s="437" t="s">
        <v>403</v>
      </c>
    </row>
    <row r="110" spans="2:47" ht="13.5" thickBot="1" x14ac:dyDescent="0.45">
      <c r="B110" s="416" t="s">
        <v>404</v>
      </c>
      <c r="C110" s="417"/>
      <c r="D110" s="418">
        <f>SUM(D105:D108)</f>
        <v>6</v>
      </c>
      <c r="E110" s="419">
        <f>D110/D$114</f>
        <v>1.4184397163120567E-2</v>
      </c>
      <c r="F110" s="420">
        <f>SUM(F105:F108)</f>
        <v>8</v>
      </c>
      <c r="G110" s="419">
        <f>F110/F$114</f>
        <v>2.0460358056265986E-2</v>
      </c>
      <c r="I110" s="33" t="s">
        <v>369</v>
      </c>
      <c r="J110" s="23"/>
      <c r="K110" s="381">
        <v>1</v>
      </c>
      <c r="L110" s="382"/>
      <c r="M110" s="541"/>
      <c r="N110" s="541"/>
      <c r="O110" s="541"/>
      <c r="P110" s="541"/>
      <c r="Q110" s="541"/>
      <c r="R110" s="541"/>
      <c r="S110" s="541"/>
      <c r="T110" s="541"/>
      <c r="U110" s="541"/>
      <c r="V110" s="541"/>
      <c r="W110" s="541"/>
      <c r="X110" s="541"/>
      <c r="Y110" s="541"/>
      <c r="Z110" s="541"/>
      <c r="AA110" s="541"/>
      <c r="AC110" s="240"/>
      <c r="AD110" s="2" t="s">
        <v>405</v>
      </c>
      <c r="AE110" s="241">
        <v>3</v>
      </c>
      <c r="AF110" s="241">
        <v>7</v>
      </c>
      <c r="AG110" s="241">
        <v>10</v>
      </c>
      <c r="AN110" s="2">
        <v>6</v>
      </c>
      <c r="AO110" s="2" t="s">
        <v>349</v>
      </c>
      <c r="AQ110" s="2">
        <v>5</v>
      </c>
      <c r="AR110" s="437" t="s">
        <v>406</v>
      </c>
      <c r="AT110" s="2">
        <v>1</v>
      </c>
      <c r="AU110" s="437" t="s">
        <v>407</v>
      </c>
    </row>
    <row r="111" spans="2:47" ht="13.5" thickTop="1" x14ac:dyDescent="0.4">
      <c r="B111" s="424"/>
      <c r="C111" s="425"/>
      <c r="D111" s="426"/>
      <c r="E111" s="427"/>
      <c r="F111" s="428"/>
      <c r="G111" s="427"/>
      <c r="I111" s="33" t="s">
        <v>372</v>
      </c>
      <c r="J111" s="23"/>
      <c r="K111" s="381">
        <v>11</v>
      </c>
      <c r="L111" s="382">
        <f>K111/K$117</f>
        <v>4.6218487394957986E-2</v>
      </c>
      <c r="M111" s="541"/>
      <c r="N111" s="541"/>
      <c r="O111" s="541"/>
      <c r="P111" s="541"/>
      <c r="Q111" s="541"/>
      <c r="R111" s="541"/>
      <c r="S111" s="541"/>
      <c r="T111" s="541"/>
      <c r="U111" s="541"/>
      <c r="V111" s="541"/>
      <c r="W111" s="541"/>
      <c r="X111" s="541"/>
      <c r="Y111" s="541"/>
      <c r="Z111" s="541"/>
      <c r="AA111" s="541"/>
      <c r="AC111" s="240"/>
      <c r="AD111" s="2" t="s">
        <v>408</v>
      </c>
      <c r="AE111" s="241">
        <v>1</v>
      </c>
      <c r="AF111" s="241"/>
      <c r="AG111" s="241">
        <v>1</v>
      </c>
      <c r="AN111" s="2">
        <v>7</v>
      </c>
      <c r="AO111" s="2" t="s">
        <v>349</v>
      </c>
      <c r="AQ111" s="2">
        <v>5</v>
      </c>
      <c r="AR111" s="437" t="s">
        <v>409</v>
      </c>
      <c r="AT111" s="2">
        <v>1</v>
      </c>
      <c r="AU111" s="437" t="s">
        <v>410</v>
      </c>
    </row>
    <row r="112" spans="2:47" x14ac:dyDescent="0.4">
      <c r="B112" s="390" t="s">
        <v>411</v>
      </c>
      <c r="C112" s="391"/>
      <c r="D112" s="438">
        <f>26-1</f>
        <v>25</v>
      </c>
      <c r="E112" s="387">
        <f>D112/D$114</f>
        <v>5.9101654846335699E-2</v>
      </c>
      <c r="F112" s="438">
        <v>46</v>
      </c>
      <c r="G112" s="387">
        <f>F112/F$114</f>
        <v>0.11764705882352941</v>
      </c>
      <c r="H112" s="171"/>
      <c r="I112" s="33" t="s">
        <v>385</v>
      </c>
      <c r="J112" s="23"/>
      <c r="K112" s="381">
        <v>2</v>
      </c>
      <c r="L112" s="382">
        <f>K112/K$117</f>
        <v>8.4033613445378148E-3</v>
      </c>
      <c r="M112" s="541"/>
      <c r="N112" s="541"/>
      <c r="O112" s="541"/>
      <c r="P112" s="541"/>
      <c r="Q112" s="541"/>
      <c r="R112" s="541"/>
      <c r="S112" s="541"/>
      <c r="T112" s="541"/>
      <c r="U112" s="541"/>
      <c r="V112" s="541"/>
      <c r="W112" s="541"/>
      <c r="X112" s="541"/>
      <c r="Y112" s="541"/>
      <c r="Z112" s="541"/>
      <c r="AA112" s="541"/>
      <c r="AC112" s="240"/>
      <c r="AD112" s="2" t="s">
        <v>412</v>
      </c>
      <c r="AE112" s="241">
        <v>1</v>
      </c>
      <c r="AF112" s="241"/>
      <c r="AG112" s="241">
        <v>1</v>
      </c>
      <c r="AJ112" s="2" t="s">
        <v>413</v>
      </c>
      <c r="AK112" s="241">
        <v>22</v>
      </c>
      <c r="AL112" s="241">
        <v>54</v>
      </c>
      <c r="AN112" s="2">
        <v>8</v>
      </c>
      <c r="AO112" s="2" t="s">
        <v>349</v>
      </c>
      <c r="AQ112" s="2">
        <v>5</v>
      </c>
      <c r="AR112" s="437" t="s">
        <v>414</v>
      </c>
      <c r="AT112" s="2">
        <v>1</v>
      </c>
      <c r="AU112" s="437" t="s">
        <v>415</v>
      </c>
    </row>
    <row r="113" spans="1:47" ht="13.5" thickBot="1" x14ac:dyDescent="0.45">
      <c r="B113" s="445"/>
      <c r="C113" s="446"/>
      <c r="D113" s="447"/>
      <c r="E113" s="448"/>
      <c r="F113" s="449"/>
      <c r="G113" s="448"/>
      <c r="H113" s="171"/>
      <c r="I113" s="33" t="s">
        <v>400</v>
      </c>
      <c r="J113" s="23"/>
      <c r="K113" s="381">
        <v>71</v>
      </c>
      <c r="L113" s="382">
        <f>K113/K$117</f>
        <v>0.29831932773109243</v>
      </c>
      <c r="M113" s="541"/>
      <c r="N113" s="541"/>
      <c r="O113" s="541"/>
      <c r="P113" s="541"/>
      <c r="Q113" s="541"/>
      <c r="R113" s="541"/>
      <c r="S113" s="541"/>
      <c r="T113" s="541"/>
      <c r="U113" s="541"/>
      <c r="V113" s="541"/>
      <c r="W113" s="541"/>
      <c r="X113" s="541"/>
      <c r="Y113" s="541"/>
      <c r="Z113" s="541"/>
      <c r="AA113" s="541"/>
      <c r="AC113" s="240"/>
      <c r="AD113" s="2" t="s">
        <v>416</v>
      </c>
      <c r="AE113" s="241">
        <v>1</v>
      </c>
      <c r="AF113" s="241">
        <v>3</v>
      </c>
      <c r="AG113" s="241">
        <v>4</v>
      </c>
      <c r="AN113" s="2">
        <v>9</v>
      </c>
      <c r="AO113" s="2" t="s">
        <v>349</v>
      </c>
      <c r="AQ113" s="2">
        <v>4</v>
      </c>
      <c r="AR113" s="437" t="s">
        <v>417</v>
      </c>
      <c r="AT113" s="2">
        <v>1</v>
      </c>
      <c r="AU113" s="437" t="s">
        <v>418</v>
      </c>
    </row>
    <row r="114" spans="1:47" ht="13.9" thickTop="1" thickBot="1" x14ac:dyDescent="0.45">
      <c r="B114" s="450" t="s">
        <v>419</v>
      </c>
      <c r="C114" s="451"/>
      <c r="D114" s="452">
        <f>SUM(D112,D110,D82,D92,D103)</f>
        <v>423</v>
      </c>
      <c r="E114" s="453">
        <v>1</v>
      </c>
      <c r="F114" s="454">
        <f>SUM(F112,F110,F82,F92,F103)</f>
        <v>391</v>
      </c>
      <c r="G114" s="453">
        <f>F114/F$114</f>
        <v>1</v>
      </c>
      <c r="H114" s="170"/>
      <c r="I114" s="33" t="s">
        <v>462</v>
      </c>
      <c r="J114" s="23"/>
      <c r="K114" s="381">
        <v>1</v>
      </c>
      <c r="L114" s="382"/>
      <c r="M114" s="541"/>
      <c r="N114" s="541"/>
      <c r="O114" s="541"/>
      <c r="P114" s="541"/>
      <c r="Q114" s="541"/>
      <c r="R114" s="541"/>
      <c r="S114" s="541"/>
      <c r="T114" s="541"/>
      <c r="U114" s="541"/>
      <c r="V114" s="541"/>
      <c r="W114" s="541"/>
      <c r="X114" s="541"/>
      <c r="Y114" s="541"/>
      <c r="Z114" s="541"/>
      <c r="AA114" s="541"/>
      <c r="AC114" s="240"/>
      <c r="AD114" s="2" t="s">
        <v>420</v>
      </c>
      <c r="AE114" s="241">
        <v>1</v>
      </c>
      <c r="AF114" s="241">
        <v>1</v>
      </c>
      <c r="AG114" s="241">
        <v>2</v>
      </c>
      <c r="AJ114" s="266"/>
      <c r="AK114" s="267">
        <v>402</v>
      </c>
      <c r="AL114" s="267">
        <v>402</v>
      </c>
      <c r="AN114" s="2">
        <v>10</v>
      </c>
      <c r="AO114" s="2" t="s">
        <v>349</v>
      </c>
      <c r="AQ114" s="2">
        <v>4</v>
      </c>
      <c r="AR114" s="437" t="s">
        <v>421</v>
      </c>
    </row>
    <row r="115" spans="1:47" x14ac:dyDescent="0.4">
      <c r="I115" s="33" t="s">
        <v>391</v>
      </c>
      <c r="J115" s="23"/>
      <c r="K115" s="381">
        <v>7</v>
      </c>
      <c r="L115" s="382">
        <f>K115/K$117</f>
        <v>2.9411764705882353E-2</v>
      </c>
      <c r="M115" s="541"/>
      <c r="N115" s="541"/>
      <c r="O115" s="541"/>
      <c r="P115" s="541"/>
      <c r="Q115" s="541"/>
      <c r="R115" s="541"/>
      <c r="S115" s="541"/>
      <c r="T115" s="541"/>
      <c r="U115" s="541"/>
      <c r="V115" s="541"/>
      <c r="W115" s="541"/>
      <c r="X115" s="541"/>
      <c r="Y115" s="541"/>
      <c r="Z115" s="541"/>
      <c r="AA115" s="541"/>
      <c r="AC115" s="240"/>
      <c r="AD115" s="2" t="s">
        <v>422</v>
      </c>
      <c r="AE115" s="241">
        <v>32</v>
      </c>
      <c r="AF115" s="241">
        <v>51</v>
      </c>
      <c r="AG115" s="241">
        <v>83</v>
      </c>
      <c r="AN115" s="2">
        <v>11</v>
      </c>
      <c r="AO115" s="2" t="s">
        <v>349</v>
      </c>
      <c r="AQ115" s="2">
        <v>4</v>
      </c>
      <c r="AR115" s="437" t="s">
        <v>423</v>
      </c>
    </row>
    <row r="116" spans="1:47" x14ac:dyDescent="0.4">
      <c r="H116" s="170"/>
      <c r="I116" s="33" t="s">
        <v>390</v>
      </c>
      <c r="J116" s="23"/>
      <c r="K116" s="381">
        <v>1</v>
      </c>
      <c r="L116" s="382"/>
      <c r="M116" s="541"/>
      <c r="N116" s="541"/>
      <c r="O116" s="541"/>
      <c r="P116" s="541"/>
      <c r="Q116" s="541"/>
      <c r="R116" s="541"/>
      <c r="S116" s="541"/>
      <c r="T116" s="541"/>
      <c r="U116" s="541"/>
      <c r="V116" s="541"/>
      <c r="W116" s="541"/>
      <c r="X116" s="541"/>
      <c r="Y116" s="541"/>
      <c r="Z116" s="541"/>
      <c r="AA116" s="541"/>
      <c r="AC116" s="263"/>
      <c r="AD116" s="2" t="s">
        <v>244</v>
      </c>
      <c r="AE116" s="241">
        <v>39</v>
      </c>
      <c r="AF116" s="241">
        <v>35</v>
      </c>
      <c r="AG116" s="241">
        <v>74</v>
      </c>
      <c r="AN116" s="2">
        <v>12</v>
      </c>
      <c r="AO116" s="2" t="s">
        <v>349</v>
      </c>
      <c r="AQ116" s="2">
        <v>4</v>
      </c>
      <c r="AR116" s="437" t="s">
        <v>425</v>
      </c>
    </row>
    <row r="117" spans="1:47" ht="13.5" thickBot="1" x14ac:dyDescent="0.45">
      <c r="I117" s="531" t="s">
        <v>290</v>
      </c>
      <c r="J117" s="398"/>
      <c r="K117" s="456">
        <f>SUM(K92:K116)</f>
        <v>238</v>
      </c>
      <c r="L117" s="457"/>
      <c r="M117" s="546"/>
      <c r="N117" s="546"/>
      <c r="O117" s="546"/>
      <c r="P117" s="546"/>
      <c r="Q117" s="546"/>
      <c r="R117" s="546"/>
      <c r="S117" s="546"/>
      <c r="T117" s="546"/>
      <c r="U117" s="546"/>
      <c r="V117" s="546"/>
      <c r="W117" s="546"/>
      <c r="X117" s="546"/>
      <c r="Y117" s="546"/>
      <c r="Z117" s="546"/>
      <c r="AA117" s="546"/>
      <c r="AC117" s="266" t="s">
        <v>286</v>
      </c>
      <c r="AD117" s="266"/>
      <c r="AE117" s="267">
        <v>187</v>
      </c>
      <c r="AF117" s="267">
        <v>215</v>
      </c>
      <c r="AG117" s="267">
        <v>402</v>
      </c>
      <c r="AN117" s="2">
        <v>13</v>
      </c>
      <c r="AO117" s="2" t="s">
        <v>349</v>
      </c>
      <c r="AQ117" s="2">
        <v>4</v>
      </c>
      <c r="AR117" s="437" t="s">
        <v>427</v>
      </c>
    </row>
    <row r="118" spans="1:47" ht="13.5" thickTop="1" x14ac:dyDescent="0.4">
      <c r="I118" s="33" t="s">
        <v>426</v>
      </c>
      <c r="J118" s="23"/>
      <c r="K118" s="381">
        <f>423-K117</f>
        <v>185</v>
      </c>
      <c r="L118" s="27"/>
      <c r="M118" s="171"/>
      <c r="N118" s="171"/>
      <c r="O118" s="171"/>
      <c r="P118" s="171"/>
      <c r="Q118" s="171"/>
      <c r="R118" s="171"/>
      <c r="S118" s="171"/>
      <c r="T118" s="171"/>
      <c r="U118" s="171"/>
      <c r="V118" s="171"/>
      <c r="W118" s="171"/>
      <c r="X118" s="171"/>
      <c r="Y118" s="171"/>
      <c r="Z118" s="171"/>
      <c r="AA118" s="171"/>
      <c r="AN118" s="2">
        <v>14</v>
      </c>
      <c r="AO118" s="2" t="s">
        <v>349</v>
      </c>
      <c r="AQ118" s="2">
        <v>3</v>
      </c>
      <c r="AR118" s="437" t="s">
        <v>431</v>
      </c>
    </row>
    <row r="119" spans="1:47" ht="13.5" thickBot="1" x14ac:dyDescent="0.45">
      <c r="I119" s="463" t="s">
        <v>120</v>
      </c>
      <c r="J119" s="464"/>
      <c r="K119" s="465">
        <f>K117+K118</f>
        <v>423</v>
      </c>
      <c r="L119" s="466"/>
      <c r="M119" s="540"/>
      <c r="N119" s="540"/>
      <c r="O119" s="540"/>
      <c r="P119" s="540"/>
      <c r="Q119" s="540"/>
      <c r="R119" s="540"/>
      <c r="S119" s="540"/>
      <c r="T119" s="540"/>
      <c r="U119" s="540"/>
      <c r="V119" s="540"/>
      <c r="W119" s="540"/>
      <c r="X119" s="540"/>
      <c r="Y119" s="540"/>
      <c r="Z119" s="540"/>
      <c r="AA119" s="540"/>
      <c r="AN119" s="2">
        <v>15</v>
      </c>
      <c r="AO119" s="2" t="s">
        <v>349</v>
      </c>
      <c r="AQ119" s="2">
        <v>3</v>
      </c>
      <c r="AR119" s="437" t="s">
        <v>434</v>
      </c>
    </row>
    <row r="120" spans="1:47" x14ac:dyDescent="0.4"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  <c r="AA120" s="179"/>
      <c r="AN120" s="2">
        <v>16</v>
      </c>
      <c r="AO120" s="2" t="s">
        <v>349</v>
      </c>
      <c r="AQ120" s="2">
        <v>3</v>
      </c>
      <c r="AR120" s="437" t="s">
        <v>435</v>
      </c>
    </row>
    <row r="121" spans="1:47" x14ac:dyDescent="0.4">
      <c r="AN121" s="2">
        <v>17</v>
      </c>
      <c r="AO121" s="2" t="s">
        <v>349</v>
      </c>
      <c r="AQ121" s="2">
        <v>3</v>
      </c>
      <c r="AR121" s="437" t="s">
        <v>436</v>
      </c>
    </row>
    <row r="122" spans="1:47" x14ac:dyDescent="0.4">
      <c r="AN122" s="2">
        <v>18</v>
      </c>
      <c r="AO122" s="2" t="s">
        <v>349</v>
      </c>
      <c r="AQ122" s="2">
        <v>3</v>
      </c>
      <c r="AR122" s="437" t="s">
        <v>437</v>
      </c>
    </row>
    <row r="123" spans="1:47" x14ac:dyDescent="0.4">
      <c r="AN123" s="2">
        <v>19</v>
      </c>
      <c r="AO123" s="2" t="s">
        <v>349</v>
      </c>
      <c r="AQ123" s="2">
        <v>3</v>
      </c>
      <c r="AR123" s="437" t="s">
        <v>438</v>
      </c>
    </row>
    <row r="124" spans="1:47" x14ac:dyDescent="0.4">
      <c r="B124" s="648" t="s">
        <v>446</v>
      </c>
      <c r="C124" s="649"/>
      <c r="D124" s="18"/>
      <c r="E124" s="650" t="s">
        <v>424</v>
      </c>
      <c r="F124" s="651"/>
      <c r="G124" s="652"/>
      <c r="AN124" s="2">
        <v>20</v>
      </c>
      <c r="AO124" s="2" t="s">
        <v>349</v>
      </c>
      <c r="AQ124" s="2">
        <v>3</v>
      </c>
      <c r="AR124" s="437" t="s">
        <v>439</v>
      </c>
    </row>
    <row r="125" spans="1:47" ht="14.25" x14ac:dyDescent="0.45">
      <c r="B125" s="458"/>
      <c r="C125" s="18"/>
      <c r="D125" s="80"/>
      <c r="E125" s="80"/>
      <c r="F125" s="213"/>
      <c r="AN125" s="2">
        <v>21</v>
      </c>
      <c r="AO125" s="2" t="s">
        <v>349</v>
      </c>
      <c r="AQ125" s="2">
        <v>2</v>
      </c>
      <c r="AR125" s="437" t="s">
        <v>440</v>
      </c>
    </row>
    <row r="126" spans="1:47" x14ac:dyDescent="0.4">
      <c r="B126" s="459" t="s">
        <v>187</v>
      </c>
      <c r="C126" s="459" t="s">
        <v>305</v>
      </c>
      <c r="D126" s="459" t="s">
        <v>428</v>
      </c>
      <c r="E126" s="460" t="s">
        <v>429</v>
      </c>
      <c r="F126" s="461" t="s">
        <v>305</v>
      </c>
      <c r="G126" s="462" t="s">
        <v>430</v>
      </c>
      <c r="AN126" s="2">
        <v>22</v>
      </c>
      <c r="AO126" s="2" t="s">
        <v>349</v>
      </c>
      <c r="AQ126" s="2">
        <v>2</v>
      </c>
      <c r="AR126" s="437" t="s">
        <v>441</v>
      </c>
    </row>
    <row r="127" spans="1:47" x14ac:dyDescent="0.4">
      <c r="A127" s="459" t="s">
        <v>432</v>
      </c>
      <c r="B127" s="467" t="s">
        <v>196</v>
      </c>
      <c r="C127" s="468">
        <v>249</v>
      </c>
      <c r="D127" s="469">
        <v>1</v>
      </c>
      <c r="E127" s="467" t="s">
        <v>433</v>
      </c>
      <c r="F127" s="470">
        <v>15</v>
      </c>
      <c r="G127" s="471">
        <v>0.48275862068965519</v>
      </c>
      <c r="AN127" s="2">
        <v>23</v>
      </c>
      <c r="AO127" s="2" t="s">
        <v>349</v>
      </c>
      <c r="AQ127" s="2">
        <v>2</v>
      </c>
      <c r="AR127" s="437" t="s">
        <v>443</v>
      </c>
    </row>
    <row r="128" spans="1:47" x14ac:dyDescent="0.4">
      <c r="A128" s="469">
        <v>1</v>
      </c>
      <c r="B128" s="472" t="s">
        <v>200</v>
      </c>
      <c r="C128" s="473">
        <v>23</v>
      </c>
      <c r="D128" s="474">
        <f>D127+1</f>
        <v>2</v>
      </c>
      <c r="E128" s="472" t="s">
        <v>321</v>
      </c>
      <c r="F128" s="475">
        <v>7</v>
      </c>
      <c r="G128" s="476">
        <v>0.10344827586206896</v>
      </c>
      <c r="AN128" s="2">
        <v>24</v>
      </c>
      <c r="AO128" s="2" t="s">
        <v>349</v>
      </c>
    </row>
    <row r="129" spans="1:41" x14ac:dyDescent="0.4">
      <c r="A129" s="474">
        <f>A128+1</f>
        <v>2</v>
      </c>
      <c r="B129" s="472" t="s">
        <v>199</v>
      </c>
      <c r="C129" s="473">
        <v>20</v>
      </c>
      <c r="D129" s="474">
        <f t="shared" ref="D129:D138" si="14">D128+1</f>
        <v>3</v>
      </c>
      <c r="E129" s="472" t="s">
        <v>303</v>
      </c>
      <c r="F129" s="475">
        <v>3</v>
      </c>
      <c r="G129" s="476">
        <v>6.8965517241379309E-2</v>
      </c>
      <c r="AN129" s="2">
        <v>25</v>
      </c>
      <c r="AO129" s="2" t="s">
        <v>349</v>
      </c>
    </row>
    <row r="130" spans="1:41" x14ac:dyDescent="0.4">
      <c r="A130" s="474">
        <f t="shared" ref="A130:A154" si="15">A129+1</f>
        <v>3</v>
      </c>
      <c r="B130" s="472" t="s">
        <v>202</v>
      </c>
      <c r="C130" s="473">
        <v>16</v>
      </c>
      <c r="D130" s="474">
        <f t="shared" si="14"/>
        <v>4</v>
      </c>
      <c r="E130" s="472" t="s">
        <v>451</v>
      </c>
      <c r="F130" s="477">
        <v>2</v>
      </c>
      <c r="G130" s="478">
        <v>6.8965517241379309E-2</v>
      </c>
      <c r="AN130" s="2">
        <v>26</v>
      </c>
      <c r="AO130" s="2" t="s">
        <v>349</v>
      </c>
    </row>
    <row r="131" spans="1:41" x14ac:dyDescent="0.4">
      <c r="A131" s="474">
        <f t="shared" si="15"/>
        <v>4</v>
      </c>
      <c r="B131" s="472" t="s">
        <v>210</v>
      </c>
      <c r="C131" s="479">
        <v>12</v>
      </c>
      <c r="D131" s="469">
        <f t="shared" si="14"/>
        <v>5</v>
      </c>
      <c r="E131" s="480" t="s">
        <v>442</v>
      </c>
      <c r="F131" s="481">
        <v>2</v>
      </c>
      <c r="G131" s="471">
        <v>3.4482758620689655E-2</v>
      </c>
      <c r="AN131" s="2">
        <v>27</v>
      </c>
      <c r="AO131" s="2" t="s">
        <v>349</v>
      </c>
    </row>
    <row r="132" spans="1:41" x14ac:dyDescent="0.4">
      <c r="A132" s="469">
        <f t="shared" si="15"/>
        <v>5</v>
      </c>
      <c r="B132" s="482" t="s">
        <v>208</v>
      </c>
      <c r="C132" s="483">
        <v>9</v>
      </c>
      <c r="D132" s="474">
        <f t="shared" si="14"/>
        <v>6</v>
      </c>
      <c r="E132" s="484" t="s">
        <v>294</v>
      </c>
      <c r="F132" s="475">
        <v>1</v>
      </c>
      <c r="G132" s="476">
        <v>3.4482758620689655E-2</v>
      </c>
      <c r="AN132" s="2">
        <v>28</v>
      </c>
      <c r="AO132" s="2" t="s">
        <v>349</v>
      </c>
    </row>
    <row r="133" spans="1:41" x14ac:dyDescent="0.4">
      <c r="A133" s="474">
        <f t="shared" si="15"/>
        <v>6</v>
      </c>
      <c r="B133" s="472" t="s">
        <v>212</v>
      </c>
      <c r="C133" s="473">
        <v>8</v>
      </c>
      <c r="D133" s="474">
        <f t="shared" si="14"/>
        <v>7</v>
      </c>
      <c r="E133" s="484" t="s">
        <v>452</v>
      </c>
      <c r="F133" s="475">
        <v>1</v>
      </c>
      <c r="G133" s="476">
        <v>3.4482758620689655E-2</v>
      </c>
      <c r="AN133" s="2">
        <v>29</v>
      </c>
      <c r="AO133" s="2" t="s">
        <v>349</v>
      </c>
    </row>
    <row r="134" spans="1:41" x14ac:dyDescent="0.4">
      <c r="A134" s="474">
        <f t="shared" si="15"/>
        <v>7</v>
      </c>
      <c r="B134" s="472" t="s">
        <v>217</v>
      </c>
      <c r="C134" s="473">
        <v>7</v>
      </c>
      <c r="D134" s="485">
        <f t="shared" si="14"/>
        <v>8</v>
      </c>
      <c r="E134" s="486" t="s">
        <v>456</v>
      </c>
      <c r="F134" s="477">
        <v>1</v>
      </c>
      <c r="G134" s="478">
        <v>3.4482758620689655E-2</v>
      </c>
      <c r="AN134" s="2">
        <v>30</v>
      </c>
      <c r="AO134" s="2" t="s">
        <v>349</v>
      </c>
    </row>
    <row r="135" spans="1:41" x14ac:dyDescent="0.4">
      <c r="A135" s="474">
        <f t="shared" si="15"/>
        <v>8</v>
      </c>
      <c r="B135" s="472" t="s">
        <v>221</v>
      </c>
      <c r="C135" s="473">
        <v>7</v>
      </c>
      <c r="D135" s="474">
        <f t="shared" si="14"/>
        <v>9</v>
      </c>
      <c r="E135" s="472"/>
      <c r="F135" s="475"/>
      <c r="G135" s="476">
        <v>3.4482758620689655E-2</v>
      </c>
      <c r="AN135" s="2">
        <v>31</v>
      </c>
      <c r="AO135" s="2" t="s">
        <v>349</v>
      </c>
    </row>
    <row r="136" spans="1:41" x14ac:dyDescent="0.4">
      <c r="A136" s="485">
        <f t="shared" si="15"/>
        <v>9</v>
      </c>
      <c r="B136" s="487" t="s">
        <v>205</v>
      </c>
      <c r="C136" s="479">
        <v>5</v>
      </c>
      <c r="D136" s="474">
        <f t="shared" si="14"/>
        <v>10</v>
      </c>
      <c r="E136" s="472"/>
      <c r="F136" s="475"/>
      <c r="G136" s="476">
        <v>3.4482758620689655E-2</v>
      </c>
      <c r="AN136" s="2">
        <v>32</v>
      </c>
      <c r="AO136" s="2" t="s">
        <v>349</v>
      </c>
    </row>
    <row r="137" spans="1:41" x14ac:dyDescent="0.4">
      <c r="A137" s="474">
        <f t="shared" si="15"/>
        <v>10</v>
      </c>
      <c r="B137" s="472" t="s">
        <v>230</v>
      </c>
      <c r="C137" s="483">
        <v>5</v>
      </c>
      <c r="D137" s="474">
        <f t="shared" si="14"/>
        <v>11</v>
      </c>
      <c r="E137" s="472"/>
      <c r="F137" s="475"/>
      <c r="G137" s="476">
        <v>3.4482758620689655E-2</v>
      </c>
      <c r="AN137" s="2">
        <v>33</v>
      </c>
      <c r="AO137" s="2" t="s">
        <v>349</v>
      </c>
    </row>
    <row r="138" spans="1:41" x14ac:dyDescent="0.4">
      <c r="A138" s="474">
        <f t="shared" si="15"/>
        <v>11</v>
      </c>
      <c r="B138" s="472" t="s">
        <v>263</v>
      </c>
      <c r="C138" s="473">
        <v>4</v>
      </c>
      <c r="D138" s="485">
        <f t="shared" si="14"/>
        <v>12</v>
      </c>
      <c r="E138" s="488"/>
      <c r="F138" s="477"/>
      <c r="G138" s="478">
        <v>3.4482758620689655E-2</v>
      </c>
      <c r="AN138" s="2">
        <v>34</v>
      </c>
      <c r="AO138" s="2" t="s">
        <v>349</v>
      </c>
    </row>
    <row r="139" spans="1:41" x14ac:dyDescent="0.4">
      <c r="A139" s="474">
        <f t="shared" si="15"/>
        <v>12</v>
      </c>
      <c r="B139" s="472" t="s">
        <v>283</v>
      </c>
      <c r="C139" s="473">
        <v>3</v>
      </c>
      <c r="E139" s="489" t="s">
        <v>43</v>
      </c>
      <c r="F139" s="490">
        <f>SUM(F127:F138)</f>
        <v>32</v>
      </c>
      <c r="G139" s="491"/>
      <c r="AN139" s="2">
        <v>35</v>
      </c>
      <c r="AO139" s="2" t="s">
        <v>349</v>
      </c>
    </row>
    <row r="140" spans="1:41" x14ac:dyDescent="0.4">
      <c r="A140" s="474">
        <f t="shared" si="15"/>
        <v>13</v>
      </c>
      <c r="B140" s="472" t="s">
        <v>214</v>
      </c>
      <c r="C140" s="473">
        <v>3</v>
      </c>
      <c r="AN140" s="2">
        <v>36</v>
      </c>
      <c r="AO140" s="2" t="s">
        <v>349</v>
      </c>
    </row>
    <row r="141" spans="1:41" x14ac:dyDescent="0.4">
      <c r="A141" s="474">
        <f t="shared" si="15"/>
        <v>14</v>
      </c>
      <c r="B141" s="472" t="s">
        <v>285</v>
      </c>
      <c r="C141" s="479">
        <v>3</v>
      </c>
      <c r="AN141" s="2">
        <v>37</v>
      </c>
      <c r="AO141" s="2" t="s">
        <v>349</v>
      </c>
    </row>
    <row r="142" spans="1:41" x14ac:dyDescent="0.4">
      <c r="A142" s="469">
        <f t="shared" si="15"/>
        <v>15</v>
      </c>
      <c r="B142" s="482" t="s">
        <v>224</v>
      </c>
      <c r="C142" s="483">
        <v>2</v>
      </c>
      <c r="AN142" s="2">
        <v>38</v>
      </c>
      <c r="AO142" s="2" t="s">
        <v>349</v>
      </c>
    </row>
    <row r="143" spans="1:41" x14ac:dyDescent="0.4">
      <c r="A143" s="474">
        <f t="shared" si="15"/>
        <v>16</v>
      </c>
      <c r="B143" s="472" t="s">
        <v>453</v>
      </c>
      <c r="C143" s="473">
        <v>2</v>
      </c>
      <c r="AN143" s="2">
        <v>39</v>
      </c>
      <c r="AO143" s="2" t="s">
        <v>349</v>
      </c>
    </row>
    <row r="144" spans="1:41" x14ac:dyDescent="0.4">
      <c r="A144" s="474">
        <f t="shared" si="15"/>
        <v>17</v>
      </c>
      <c r="B144" s="472" t="s">
        <v>258</v>
      </c>
      <c r="C144" s="473">
        <v>2</v>
      </c>
      <c r="AN144" s="2">
        <v>1</v>
      </c>
      <c r="AO144" s="2" t="s">
        <v>343</v>
      </c>
    </row>
    <row r="145" spans="1:41" x14ac:dyDescent="0.4">
      <c r="A145" s="474">
        <f t="shared" si="15"/>
        <v>18</v>
      </c>
      <c r="B145" s="472" t="s">
        <v>271</v>
      </c>
      <c r="C145" s="473">
        <v>2</v>
      </c>
      <c r="AN145" s="2">
        <v>2</v>
      </c>
      <c r="AO145" s="2" t="s">
        <v>343</v>
      </c>
    </row>
    <row r="146" spans="1:41" x14ac:dyDescent="0.4">
      <c r="A146" s="485">
        <f t="shared" si="15"/>
        <v>19</v>
      </c>
      <c r="B146" s="487" t="s">
        <v>444</v>
      </c>
      <c r="C146" s="479">
        <v>2</v>
      </c>
      <c r="AD146" s="2">
        <v>1555</v>
      </c>
      <c r="AN146" s="2">
        <v>3</v>
      </c>
      <c r="AO146" s="2" t="s">
        <v>343</v>
      </c>
    </row>
    <row r="147" spans="1:41" x14ac:dyDescent="0.4">
      <c r="A147" s="474">
        <f t="shared" si="15"/>
        <v>20</v>
      </c>
      <c r="B147" s="472" t="s">
        <v>223</v>
      </c>
      <c r="C147" s="483">
        <v>1</v>
      </c>
      <c r="AD147" s="2">
        <v>70</v>
      </c>
      <c r="AE147" s="2">
        <f>0.39*AD147</f>
        <v>27.3</v>
      </c>
      <c r="AN147" s="2">
        <v>4</v>
      </c>
      <c r="AO147" s="2" t="s">
        <v>343</v>
      </c>
    </row>
    <row r="148" spans="1:41" x14ac:dyDescent="0.4">
      <c r="A148" s="474">
        <f t="shared" si="15"/>
        <v>21</v>
      </c>
      <c r="B148" s="472" t="s">
        <v>236</v>
      </c>
      <c r="C148" s="473">
        <v>1</v>
      </c>
      <c r="AN148" s="2">
        <v>5</v>
      </c>
      <c r="AO148" s="2" t="s">
        <v>343</v>
      </c>
    </row>
    <row r="149" spans="1:41" x14ac:dyDescent="0.4">
      <c r="A149" s="474">
        <f t="shared" si="15"/>
        <v>22</v>
      </c>
      <c r="B149" s="472" t="s">
        <v>247</v>
      </c>
      <c r="C149" s="473">
        <v>1</v>
      </c>
      <c r="AD149" s="2">
        <v>1582.5</v>
      </c>
      <c r="AN149" s="2">
        <v>1</v>
      </c>
      <c r="AO149" s="2" t="s">
        <v>348</v>
      </c>
    </row>
    <row r="150" spans="1:41" x14ac:dyDescent="0.4">
      <c r="A150" s="474">
        <f t="shared" si="15"/>
        <v>23</v>
      </c>
      <c r="B150" s="472" t="s">
        <v>454</v>
      </c>
      <c r="C150" s="473">
        <v>1</v>
      </c>
      <c r="AD150" s="2">
        <v>10</v>
      </c>
      <c r="AN150" s="2">
        <v>2</v>
      </c>
      <c r="AO150" s="2" t="s">
        <v>348</v>
      </c>
    </row>
    <row r="151" spans="1:41" x14ac:dyDescent="0.4">
      <c r="A151" s="474">
        <f t="shared" si="15"/>
        <v>24</v>
      </c>
      <c r="B151" s="472" t="s">
        <v>275</v>
      </c>
      <c r="C151" s="473">
        <v>1</v>
      </c>
      <c r="AN151" s="2">
        <v>3</v>
      </c>
      <c r="AO151" s="2" t="s">
        <v>348</v>
      </c>
    </row>
    <row r="152" spans="1:41" x14ac:dyDescent="0.4">
      <c r="A152" s="474">
        <f t="shared" si="15"/>
        <v>25</v>
      </c>
      <c r="B152" s="472" t="s">
        <v>289</v>
      </c>
      <c r="C152" s="473">
        <v>1</v>
      </c>
    </row>
    <row r="153" spans="1:41" x14ac:dyDescent="0.4">
      <c r="A153" s="474">
        <f t="shared" si="15"/>
        <v>26</v>
      </c>
      <c r="B153" s="472" t="s">
        <v>455</v>
      </c>
      <c r="C153" s="473">
        <v>1</v>
      </c>
    </row>
    <row r="154" spans="1:41" x14ac:dyDescent="0.4">
      <c r="A154" s="485">
        <f t="shared" si="15"/>
        <v>27</v>
      </c>
      <c r="B154" s="488"/>
      <c r="C154" s="479"/>
    </row>
    <row r="155" spans="1:41" x14ac:dyDescent="0.4">
      <c r="B155" s="489" t="s">
        <v>43</v>
      </c>
      <c r="C155" s="490">
        <f>SUM(C127:C154)</f>
        <v>391</v>
      </c>
      <c r="D155" s="179"/>
      <c r="AN155" s="2">
        <v>4</v>
      </c>
      <c r="AO155" s="2" t="s">
        <v>348</v>
      </c>
    </row>
    <row r="156" spans="1:41" x14ac:dyDescent="0.4">
      <c r="B156" s="9"/>
      <c r="D156" s="179"/>
      <c r="AN156" s="2">
        <v>1</v>
      </c>
      <c r="AO156" s="2" t="s">
        <v>405</v>
      </c>
    </row>
    <row r="157" spans="1:41" x14ac:dyDescent="0.4">
      <c r="B157" s="9"/>
      <c r="D157" s="179"/>
      <c r="AN157" s="2">
        <v>2</v>
      </c>
      <c r="AO157" s="2" t="s">
        <v>405</v>
      </c>
    </row>
    <row r="158" spans="1:41" x14ac:dyDescent="0.4">
      <c r="B158" s="9"/>
      <c r="D158" s="179"/>
      <c r="AN158" s="2">
        <v>3</v>
      </c>
      <c r="AO158" s="2" t="s">
        <v>405</v>
      </c>
    </row>
    <row r="159" spans="1:41" x14ac:dyDescent="0.4">
      <c r="B159" s="9"/>
      <c r="D159" s="179"/>
      <c r="AN159" s="2">
        <v>4</v>
      </c>
      <c r="AO159" s="2" t="s">
        <v>405</v>
      </c>
    </row>
    <row r="160" spans="1:41" x14ac:dyDescent="0.4">
      <c r="B160" s="9"/>
      <c r="D160" s="179"/>
      <c r="AN160" s="2">
        <v>5</v>
      </c>
      <c r="AO160" s="2" t="s">
        <v>405</v>
      </c>
    </row>
    <row r="161" spans="2:41" x14ac:dyDescent="0.4">
      <c r="B161" s="9"/>
      <c r="D161" s="179"/>
      <c r="AN161" s="2">
        <v>6</v>
      </c>
      <c r="AO161" s="2" t="s">
        <v>405</v>
      </c>
    </row>
    <row r="162" spans="2:41" x14ac:dyDescent="0.4">
      <c r="B162" s="9"/>
      <c r="D162" s="179"/>
      <c r="AN162" s="2">
        <v>7</v>
      </c>
      <c r="AO162" s="2" t="s">
        <v>405</v>
      </c>
    </row>
    <row r="163" spans="2:41" x14ac:dyDescent="0.4">
      <c r="B163" s="9"/>
      <c r="D163" s="179"/>
      <c r="AN163" s="2">
        <v>8</v>
      </c>
      <c r="AO163" s="2" t="s">
        <v>405</v>
      </c>
    </row>
    <row r="164" spans="2:41" x14ac:dyDescent="0.4">
      <c r="B164" s="9"/>
      <c r="D164" s="179"/>
      <c r="AN164" s="2">
        <v>9</v>
      </c>
      <c r="AO164" s="2" t="s">
        <v>405</v>
      </c>
    </row>
    <row r="165" spans="2:41" x14ac:dyDescent="0.4">
      <c r="B165" s="9"/>
      <c r="D165" s="179"/>
      <c r="AN165" s="2">
        <v>10</v>
      </c>
      <c r="AO165" s="2" t="s">
        <v>405</v>
      </c>
    </row>
    <row r="166" spans="2:41" x14ac:dyDescent="0.4">
      <c r="B166" s="9"/>
      <c r="D166" s="179"/>
      <c r="AN166" s="2">
        <v>1</v>
      </c>
      <c r="AO166" s="2" t="s">
        <v>354</v>
      </c>
    </row>
    <row r="167" spans="2:41" x14ac:dyDescent="0.4">
      <c r="B167" s="9"/>
      <c r="D167" s="179"/>
      <c r="AN167" s="2">
        <v>2</v>
      </c>
      <c r="AO167" s="2" t="s">
        <v>354</v>
      </c>
    </row>
    <row r="168" spans="2:41" x14ac:dyDescent="0.4">
      <c r="B168" s="9"/>
      <c r="D168" s="179"/>
      <c r="AN168" s="2">
        <v>3</v>
      </c>
      <c r="AO168" s="2" t="s">
        <v>354</v>
      </c>
    </row>
    <row r="169" spans="2:41" x14ac:dyDescent="0.4">
      <c r="B169" s="9"/>
      <c r="D169" s="179"/>
      <c r="AN169" s="2">
        <v>4</v>
      </c>
      <c r="AO169" s="2" t="s">
        <v>354</v>
      </c>
    </row>
    <row r="170" spans="2:41" x14ac:dyDescent="0.4">
      <c r="B170" s="9"/>
      <c r="D170" s="179"/>
      <c r="AN170" s="2">
        <v>5</v>
      </c>
      <c r="AO170" s="2" t="s">
        <v>354</v>
      </c>
    </row>
    <row r="171" spans="2:41" x14ac:dyDescent="0.4">
      <c r="B171" s="9"/>
      <c r="D171" s="179"/>
      <c r="AN171" s="2">
        <v>6</v>
      </c>
      <c r="AO171" s="2" t="s">
        <v>354</v>
      </c>
    </row>
    <row r="172" spans="2:41" x14ac:dyDescent="0.4">
      <c r="B172" s="9"/>
      <c r="D172" s="179"/>
      <c r="AN172" s="2">
        <v>7</v>
      </c>
      <c r="AO172" s="2" t="s">
        <v>354</v>
      </c>
    </row>
    <row r="173" spans="2:41" x14ac:dyDescent="0.4">
      <c r="B173" s="9"/>
      <c r="D173" s="179"/>
      <c r="AN173" s="2">
        <v>8</v>
      </c>
      <c r="AO173" s="2" t="s">
        <v>354</v>
      </c>
    </row>
    <row r="174" spans="2:41" x14ac:dyDescent="0.4">
      <c r="B174" s="9"/>
      <c r="D174" s="179"/>
      <c r="AN174" s="2">
        <v>9</v>
      </c>
      <c r="AO174" s="2" t="s">
        <v>354</v>
      </c>
    </row>
    <row r="175" spans="2:41" x14ac:dyDescent="0.4">
      <c r="B175" s="9"/>
      <c r="D175" s="179"/>
      <c r="AN175" s="2">
        <v>10</v>
      </c>
      <c r="AO175" s="2" t="s">
        <v>354</v>
      </c>
    </row>
    <row r="176" spans="2:41" x14ac:dyDescent="0.4">
      <c r="B176" s="9"/>
      <c r="D176" s="179"/>
      <c r="AN176" s="2">
        <v>11</v>
      </c>
      <c r="AO176" s="2" t="s">
        <v>354</v>
      </c>
    </row>
    <row r="177" spans="2:41" x14ac:dyDescent="0.4">
      <c r="B177" s="9"/>
      <c r="D177" s="179"/>
      <c r="AN177" s="2">
        <v>12</v>
      </c>
      <c r="AO177" s="2" t="s">
        <v>354</v>
      </c>
    </row>
    <row r="178" spans="2:41" x14ac:dyDescent="0.4">
      <c r="AN178" s="2">
        <v>13</v>
      </c>
      <c r="AO178" s="2" t="s">
        <v>354</v>
      </c>
    </row>
    <row r="179" spans="2:41" x14ac:dyDescent="0.4">
      <c r="AN179" s="2">
        <v>14</v>
      </c>
      <c r="AO179" s="2" t="s">
        <v>354</v>
      </c>
    </row>
    <row r="180" spans="2:41" x14ac:dyDescent="0.4">
      <c r="C180" s="2"/>
      <c r="D180" s="2"/>
      <c r="E180" s="2"/>
      <c r="F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N180" s="2">
        <v>15</v>
      </c>
      <c r="AO180" s="2" t="s">
        <v>354</v>
      </c>
    </row>
    <row r="181" spans="2:41" x14ac:dyDescent="0.4">
      <c r="C181" s="2"/>
      <c r="D181" s="2"/>
      <c r="E181" s="2"/>
      <c r="F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N181" s="2">
        <v>16</v>
      </c>
      <c r="AO181" s="2" t="s">
        <v>354</v>
      </c>
    </row>
    <row r="182" spans="2:41" x14ac:dyDescent="0.4">
      <c r="C182" s="2"/>
      <c r="D182" s="2"/>
      <c r="E182" s="2"/>
      <c r="F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N182" s="2">
        <v>17</v>
      </c>
      <c r="AO182" s="2" t="s">
        <v>354</v>
      </c>
    </row>
    <row r="183" spans="2:41" x14ac:dyDescent="0.4">
      <c r="C183" s="2"/>
      <c r="D183" s="2"/>
      <c r="E183" s="2"/>
      <c r="F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N183" s="2">
        <v>18</v>
      </c>
      <c r="AO183" s="2" t="s">
        <v>354</v>
      </c>
    </row>
    <row r="184" spans="2:41" x14ac:dyDescent="0.4">
      <c r="C184" s="2"/>
      <c r="D184" s="2"/>
      <c r="E184" s="2"/>
      <c r="F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N184" s="2">
        <v>19</v>
      </c>
      <c r="AO184" s="2" t="s">
        <v>354</v>
      </c>
    </row>
    <row r="185" spans="2:41" x14ac:dyDescent="0.4">
      <c r="C185" s="2"/>
      <c r="D185" s="2"/>
      <c r="E185" s="2"/>
      <c r="F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N185" s="2">
        <v>20</v>
      </c>
      <c r="AO185" s="2" t="s">
        <v>354</v>
      </c>
    </row>
    <row r="186" spans="2:41" x14ac:dyDescent="0.4">
      <c r="C186" s="2"/>
      <c r="D186" s="2"/>
      <c r="E186" s="2"/>
      <c r="F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N186" s="2">
        <v>1</v>
      </c>
      <c r="AO186" s="2" t="s">
        <v>359</v>
      </c>
    </row>
    <row r="187" spans="2:41" x14ac:dyDescent="0.4">
      <c r="C187" s="2"/>
      <c r="D187" s="2"/>
      <c r="E187" s="2"/>
      <c r="F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N187" s="2">
        <v>1</v>
      </c>
      <c r="AO187" s="2" t="s">
        <v>364</v>
      </c>
    </row>
    <row r="188" spans="2:41" x14ac:dyDescent="0.4">
      <c r="C188" s="2"/>
      <c r="D188" s="2"/>
      <c r="E188" s="2"/>
      <c r="F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N188" s="2">
        <v>2</v>
      </c>
      <c r="AO188" s="2" t="s">
        <v>364</v>
      </c>
    </row>
    <row r="189" spans="2:41" x14ac:dyDescent="0.4">
      <c r="C189" s="2"/>
      <c r="D189" s="2"/>
      <c r="E189" s="2"/>
      <c r="F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N189" s="2">
        <v>3</v>
      </c>
      <c r="AO189" s="2" t="s">
        <v>364</v>
      </c>
    </row>
    <row r="190" spans="2:41" x14ac:dyDescent="0.4">
      <c r="C190" s="2"/>
      <c r="D190" s="2"/>
      <c r="E190" s="2"/>
      <c r="F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N190" s="2">
        <v>4</v>
      </c>
      <c r="AO190" s="2" t="s">
        <v>364</v>
      </c>
    </row>
    <row r="191" spans="2:41" x14ac:dyDescent="0.4">
      <c r="C191" s="2"/>
      <c r="D191" s="2"/>
      <c r="E191" s="2"/>
      <c r="F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N191" s="2">
        <v>5</v>
      </c>
      <c r="AO191" s="2" t="s">
        <v>364</v>
      </c>
    </row>
    <row r="192" spans="2:41" x14ac:dyDescent="0.4">
      <c r="C192" s="2"/>
      <c r="D192" s="2"/>
      <c r="E192" s="2"/>
      <c r="F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N192" s="2">
        <v>6</v>
      </c>
      <c r="AO192" s="2" t="s">
        <v>364</v>
      </c>
    </row>
    <row r="193" spans="3:41" x14ac:dyDescent="0.4">
      <c r="C193" s="2"/>
      <c r="D193" s="2"/>
      <c r="E193" s="2"/>
      <c r="F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N193" s="2">
        <v>7</v>
      </c>
      <c r="AO193" s="2" t="s">
        <v>364</v>
      </c>
    </row>
    <row r="194" spans="3:41" x14ac:dyDescent="0.4">
      <c r="C194" s="2"/>
      <c r="D194" s="2"/>
      <c r="E194" s="2"/>
      <c r="F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N194" s="2">
        <v>8</v>
      </c>
      <c r="AO194" s="2" t="s">
        <v>364</v>
      </c>
    </row>
    <row r="195" spans="3:41" x14ac:dyDescent="0.4">
      <c r="C195" s="2"/>
      <c r="D195" s="2"/>
      <c r="E195" s="2"/>
      <c r="F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N195" s="2">
        <v>9</v>
      </c>
      <c r="AO195" s="2" t="s">
        <v>364</v>
      </c>
    </row>
    <row r="196" spans="3:41" x14ac:dyDescent="0.4">
      <c r="C196" s="2"/>
      <c r="D196" s="2"/>
      <c r="E196" s="2"/>
      <c r="F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N196" s="2">
        <v>10</v>
      </c>
      <c r="AO196" s="2" t="s">
        <v>364</v>
      </c>
    </row>
    <row r="197" spans="3:41" x14ac:dyDescent="0.4">
      <c r="C197" s="2"/>
      <c r="D197" s="2"/>
      <c r="E197" s="2"/>
      <c r="F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N197" s="2">
        <v>11</v>
      </c>
      <c r="AO197" s="2" t="s">
        <v>364</v>
      </c>
    </row>
    <row r="198" spans="3:41" x14ac:dyDescent="0.4">
      <c r="C198" s="2"/>
      <c r="D198" s="2"/>
      <c r="E198" s="2"/>
      <c r="F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N198" s="2">
        <v>12</v>
      </c>
      <c r="AO198" s="2" t="s">
        <v>364</v>
      </c>
    </row>
    <row r="199" spans="3:41" x14ac:dyDescent="0.4">
      <c r="C199" s="2"/>
      <c r="D199" s="2"/>
      <c r="E199" s="2"/>
      <c r="F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N199" s="2">
        <v>13</v>
      </c>
      <c r="AO199" s="2" t="s">
        <v>364</v>
      </c>
    </row>
    <row r="200" spans="3:41" x14ac:dyDescent="0.4">
      <c r="C200" s="2"/>
      <c r="D200" s="2"/>
      <c r="E200" s="2"/>
      <c r="F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N200" s="2">
        <v>14</v>
      </c>
      <c r="AO200" s="2" t="s">
        <v>364</v>
      </c>
    </row>
    <row r="201" spans="3:41" x14ac:dyDescent="0.4">
      <c r="C201" s="2"/>
      <c r="D201" s="2"/>
      <c r="E201" s="2"/>
      <c r="F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N201" s="2">
        <v>15</v>
      </c>
      <c r="AO201" s="2" t="s">
        <v>364</v>
      </c>
    </row>
    <row r="202" spans="3:41" x14ac:dyDescent="0.4">
      <c r="C202" s="2"/>
      <c r="D202" s="2"/>
      <c r="E202" s="2"/>
      <c r="F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N202" s="2">
        <v>16</v>
      </c>
      <c r="AO202" s="2" t="s">
        <v>364</v>
      </c>
    </row>
    <row r="203" spans="3:41" x14ac:dyDescent="0.4">
      <c r="C203" s="2"/>
      <c r="D203" s="2"/>
      <c r="E203" s="2"/>
      <c r="F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N203" s="2">
        <v>17</v>
      </c>
      <c r="AO203" s="2" t="s">
        <v>364</v>
      </c>
    </row>
    <row r="204" spans="3:41" x14ac:dyDescent="0.4">
      <c r="C204" s="2"/>
      <c r="D204" s="2"/>
      <c r="E204" s="2"/>
      <c r="F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N204" s="2">
        <v>18</v>
      </c>
      <c r="AO204" s="2" t="s">
        <v>364</v>
      </c>
    </row>
    <row r="205" spans="3:41" x14ac:dyDescent="0.4">
      <c r="C205" s="2"/>
      <c r="D205" s="2"/>
      <c r="E205" s="2"/>
      <c r="F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N205" s="2">
        <v>19</v>
      </c>
      <c r="AO205" s="2" t="s">
        <v>364</v>
      </c>
    </row>
    <row r="206" spans="3:41" x14ac:dyDescent="0.4">
      <c r="C206" s="2"/>
      <c r="D206" s="2"/>
      <c r="E206" s="2"/>
      <c r="F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N206" s="2">
        <v>20</v>
      </c>
      <c r="AO206" s="2" t="s">
        <v>364</v>
      </c>
    </row>
    <row r="207" spans="3:41" x14ac:dyDescent="0.4">
      <c r="C207" s="2"/>
      <c r="D207" s="2"/>
      <c r="E207" s="2"/>
      <c r="F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N207" s="2">
        <v>21</v>
      </c>
      <c r="AO207" s="2" t="s">
        <v>364</v>
      </c>
    </row>
    <row r="208" spans="3:41" x14ac:dyDescent="0.4">
      <c r="C208" s="2"/>
      <c r="D208" s="2"/>
      <c r="E208" s="2"/>
      <c r="F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N208" s="2">
        <v>22</v>
      </c>
      <c r="AO208" s="2" t="s">
        <v>364</v>
      </c>
    </row>
    <row r="209" spans="3:41" x14ac:dyDescent="0.4">
      <c r="C209" s="2"/>
      <c r="D209" s="2"/>
      <c r="E209" s="2"/>
      <c r="F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N209" s="2">
        <v>23</v>
      </c>
      <c r="AO209" s="2" t="s">
        <v>364</v>
      </c>
    </row>
    <row r="210" spans="3:41" x14ac:dyDescent="0.4">
      <c r="C210" s="2"/>
      <c r="D210" s="2"/>
      <c r="E210" s="2"/>
      <c r="F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N210" s="2">
        <v>24</v>
      </c>
      <c r="AO210" s="2" t="s">
        <v>364</v>
      </c>
    </row>
    <row r="211" spans="3:41" x14ac:dyDescent="0.4">
      <c r="C211" s="2"/>
      <c r="D211" s="2"/>
      <c r="E211" s="2"/>
      <c r="F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N211" s="2">
        <v>25</v>
      </c>
      <c r="AO211" s="2" t="s">
        <v>364</v>
      </c>
    </row>
    <row r="212" spans="3:41" x14ac:dyDescent="0.4">
      <c r="C212" s="2"/>
      <c r="D212" s="2"/>
      <c r="E212" s="2"/>
      <c r="F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N212" s="2">
        <v>26</v>
      </c>
      <c r="AO212" s="2" t="s">
        <v>364</v>
      </c>
    </row>
    <row r="213" spans="3:41" x14ac:dyDescent="0.4">
      <c r="C213" s="2"/>
      <c r="D213" s="2"/>
      <c r="E213" s="2"/>
      <c r="F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N213" s="2">
        <v>27</v>
      </c>
      <c r="AO213" s="2" t="s">
        <v>364</v>
      </c>
    </row>
    <row r="214" spans="3:41" x14ac:dyDescent="0.4">
      <c r="C214" s="2"/>
      <c r="D214" s="2"/>
      <c r="E214" s="2"/>
      <c r="F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N214" s="2">
        <v>28</v>
      </c>
      <c r="AO214" s="2" t="s">
        <v>364</v>
      </c>
    </row>
    <row r="215" spans="3:41" x14ac:dyDescent="0.4">
      <c r="C215" s="2"/>
      <c r="D215" s="2"/>
      <c r="E215" s="2"/>
      <c r="F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N215" s="2">
        <v>29</v>
      </c>
      <c r="AO215" s="2" t="s">
        <v>364</v>
      </c>
    </row>
    <row r="216" spans="3:41" x14ac:dyDescent="0.4">
      <c r="C216" s="2"/>
      <c r="D216" s="2"/>
      <c r="E216" s="2"/>
      <c r="F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N216" s="2">
        <v>30</v>
      </c>
      <c r="AO216" s="2" t="s">
        <v>364</v>
      </c>
    </row>
    <row r="217" spans="3:41" x14ac:dyDescent="0.4">
      <c r="C217" s="2"/>
      <c r="D217" s="2"/>
      <c r="E217" s="2"/>
      <c r="F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N217" s="2">
        <v>31</v>
      </c>
      <c r="AO217" s="2" t="s">
        <v>364</v>
      </c>
    </row>
    <row r="218" spans="3:41" x14ac:dyDescent="0.4">
      <c r="C218" s="2"/>
      <c r="D218" s="2"/>
      <c r="E218" s="2"/>
      <c r="F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N218" s="2">
        <v>1</v>
      </c>
      <c r="AO218" s="2" t="s">
        <v>396</v>
      </c>
    </row>
    <row r="219" spans="3:41" x14ac:dyDescent="0.4">
      <c r="C219" s="2"/>
      <c r="D219" s="2"/>
      <c r="E219" s="2"/>
      <c r="F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N219" s="2">
        <v>1</v>
      </c>
      <c r="AO219" s="2" t="s">
        <v>416</v>
      </c>
    </row>
    <row r="220" spans="3:41" x14ac:dyDescent="0.4">
      <c r="C220" s="2"/>
      <c r="D220" s="2"/>
      <c r="E220" s="2"/>
      <c r="F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N220" s="2">
        <v>2</v>
      </c>
      <c r="AO220" s="2" t="s">
        <v>416</v>
      </c>
    </row>
    <row r="221" spans="3:41" x14ac:dyDescent="0.4">
      <c r="C221" s="2"/>
      <c r="D221" s="2"/>
      <c r="E221" s="2"/>
      <c r="F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N221" s="2">
        <v>3</v>
      </c>
      <c r="AO221" s="2" t="s">
        <v>416</v>
      </c>
    </row>
    <row r="222" spans="3:41" x14ac:dyDescent="0.4">
      <c r="C222" s="2"/>
      <c r="D222" s="2"/>
      <c r="E222" s="2"/>
      <c r="F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N222" s="2">
        <v>4</v>
      </c>
      <c r="AO222" s="2" t="s">
        <v>416</v>
      </c>
    </row>
    <row r="223" spans="3:41" x14ac:dyDescent="0.4">
      <c r="C223" s="2"/>
      <c r="D223" s="2"/>
      <c r="E223" s="2"/>
      <c r="F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N223" s="2">
        <v>1</v>
      </c>
      <c r="AO223" s="2" t="s">
        <v>369</v>
      </c>
    </row>
    <row r="224" spans="3:41" x14ac:dyDescent="0.4">
      <c r="C224" s="2"/>
      <c r="D224" s="2"/>
      <c r="E224" s="2"/>
      <c r="F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N224" s="2">
        <v>2</v>
      </c>
      <c r="AO224" s="2" t="s">
        <v>369</v>
      </c>
    </row>
    <row r="225" spans="3:41" x14ac:dyDescent="0.4">
      <c r="C225" s="2"/>
      <c r="D225" s="2"/>
      <c r="E225" s="2"/>
      <c r="F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N225" s="2">
        <v>3</v>
      </c>
      <c r="AO225" s="2" t="s">
        <v>369</v>
      </c>
    </row>
    <row r="226" spans="3:41" x14ac:dyDescent="0.4">
      <c r="C226" s="2"/>
      <c r="D226" s="2"/>
      <c r="E226" s="2"/>
      <c r="F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N226" s="2">
        <v>1</v>
      </c>
      <c r="AO226" s="2" t="s">
        <v>372</v>
      </c>
    </row>
    <row r="227" spans="3:41" x14ac:dyDescent="0.4">
      <c r="C227" s="2"/>
      <c r="D227" s="2"/>
      <c r="E227" s="2"/>
      <c r="F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N227" s="2">
        <v>2</v>
      </c>
      <c r="AO227" s="2" t="s">
        <v>372</v>
      </c>
    </row>
    <row r="228" spans="3:41" x14ac:dyDescent="0.4">
      <c r="C228" s="2"/>
      <c r="D228" s="2"/>
      <c r="E228" s="2"/>
      <c r="F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N228" s="2">
        <v>3</v>
      </c>
      <c r="AO228" s="2" t="s">
        <v>372</v>
      </c>
    </row>
    <row r="229" spans="3:41" x14ac:dyDescent="0.4">
      <c r="C229" s="2"/>
      <c r="D229" s="2"/>
      <c r="E229" s="2"/>
      <c r="F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N229" s="2">
        <v>4</v>
      </c>
      <c r="AO229" s="2" t="s">
        <v>372</v>
      </c>
    </row>
    <row r="230" spans="3:41" x14ac:dyDescent="0.4">
      <c r="C230" s="2"/>
      <c r="D230" s="2"/>
      <c r="E230" s="2"/>
      <c r="F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N230" s="2">
        <v>5</v>
      </c>
      <c r="AO230" s="2" t="s">
        <v>372</v>
      </c>
    </row>
    <row r="231" spans="3:41" x14ac:dyDescent="0.4">
      <c r="C231" s="2"/>
      <c r="D231" s="2"/>
      <c r="E231" s="2"/>
      <c r="F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N231" s="2">
        <v>6</v>
      </c>
      <c r="AO231" s="2" t="s">
        <v>372</v>
      </c>
    </row>
    <row r="232" spans="3:41" x14ac:dyDescent="0.4">
      <c r="C232" s="2"/>
      <c r="D232" s="2"/>
      <c r="E232" s="2"/>
      <c r="F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N232" s="2">
        <v>7</v>
      </c>
      <c r="AO232" s="2" t="s">
        <v>372</v>
      </c>
    </row>
    <row r="233" spans="3:41" x14ac:dyDescent="0.4">
      <c r="C233" s="2"/>
      <c r="D233" s="2"/>
      <c r="E233" s="2"/>
      <c r="F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N233" s="2">
        <v>8</v>
      </c>
      <c r="AO233" s="2" t="s">
        <v>372</v>
      </c>
    </row>
    <row r="234" spans="3:41" x14ac:dyDescent="0.4">
      <c r="C234" s="2"/>
      <c r="D234" s="2"/>
      <c r="E234" s="2"/>
      <c r="F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N234" s="2">
        <v>9</v>
      </c>
      <c r="AO234" s="2" t="s">
        <v>372</v>
      </c>
    </row>
    <row r="235" spans="3:41" x14ac:dyDescent="0.4">
      <c r="C235" s="2"/>
      <c r="D235" s="2"/>
      <c r="E235" s="2"/>
      <c r="F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N235" s="2">
        <v>10</v>
      </c>
      <c r="AO235" s="2" t="s">
        <v>372</v>
      </c>
    </row>
    <row r="236" spans="3:41" x14ac:dyDescent="0.4">
      <c r="C236" s="2"/>
      <c r="D236" s="2"/>
      <c r="E236" s="2"/>
      <c r="F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N236" s="2">
        <v>11</v>
      </c>
      <c r="AO236" s="2" t="s">
        <v>372</v>
      </c>
    </row>
    <row r="237" spans="3:41" x14ac:dyDescent="0.4">
      <c r="C237" s="2"/>
      <c r="D237" s="2"/>
      <c r="E237" s="2"/>
      <c r="F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N237" s="2">
        <v>12</v>
      </c>
      <c r="AO237" s="2" t="s">
        <v>372</v>
      </c>
    </row>
    <row r="238" spans="3:41" x14ac:dyDescent="0.4">
      <c r="C238" s="2"/>
      <c r="D238" s="2"/>
      <c r="E238" s="2"/>
      <c r="F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N238" s="2">
        <v>13</v>
      </c>
      <c r="AO238" s="2" t="s">
        <v>372</v>
      </c>
    </row>
    <row r="239" spans="3:41" x14ac:dyDescent="0.4">
      <c r="C239" s="2"/>
      <c r="D239" s="2"/>
      <c r="E239" s="2"/>
      <c r="F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N239" s="2">
        <v>14</v>
      </c>
      <c r="AO239" s="2" t="s">
        <v>372</v>
      </c>
    </row>
    <row r="240" spans="3:41" x14ac:dyDescent="0.4">
      <c r="C240" s="2"/>
      <c r="D240" s="2"/>
      <c r="E240" s="2"/>
      <c r="F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N240" s="2">
        <v>1</v>
      </c>
      <c r="AO240" s="2" t="s">
        <v>376</v>
      </c>
    </row>
    <row r="241" spans="3:41" x14ac:dyDescent="0.4">
      <c r="C241" s="2"/>
      <c r="D241" s="2"/>
      <c r="E241" s="2"/>
      <c r="F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N241" s="2">
        <v>2</v>
      </c>
      <c r="AO241" s="2" t="s">
        <v>376</v>
      </c>
    </row>
    <row r="242" spans="3:41" x14ac:dyDescent="0.4">
      <c r="C242" s="2"/>
      <c r="D242" s="2"/>
      <c r="E242" s="2"/>
      <c r="F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N242" s="2">
        <v>1</v>
      </c>
      <c r="AO242" s="2" t="s">
        <v>385</v>
      </c>
    </row>
    <row r="243" spans="3:41" x14ac:dyDescent="0.4">
      <c r="C243" s="2"/>
      <c r="D243" s="2"/>
      <c r="E243" s="2"/>
      <c r="F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N243" s="2">
        <v>1</v>
      </c>
      <c r="AO243" s="2" t="s">
        <v>400</v>
      </c>
    </row>
    <row r="244" spans="3:41" x14ac:dyDescent="0.4">
      <c r="C244" s="2"/>
      <c r="D244" s="2"/>
      <c r="E244" s="2"/>
      <c r="F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N244" s="2">
        <v>2</v>
      </c>
      <c r="AO244" s="2" t="s">
        <v>400</v>
      </c>
    </row>
    <row r="245" spans="3:41" x14ac:dyDescent="0.4">
      <c r="C245" s="2"/>
      <c r="D245" s="2"/>
      <c r="E245" s="2"/>
      <c r="F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N245" s="2">
        <v>3</v>
      </c>
      <c r="AO245" s="2" t="s">
        <v>400</v>
      </c>
    </row>
    <row r="246" spans="3:41" x14ac:dyDescent="0.4">
      <c r="C246" s="2"/>
      <c r="D246" s="2"/>
      <c r="E246" s="2"/>
      <c r="F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N246" s="2">
        <v>4</v>
      </c>
      <c r="AO246" s="2" t="s">
        <v>400</v>
      </c>
    </row>
    <row r="247" spans="3:41" x14ac:dyDescent="0.4">
      <c r="C247" s="2"/>
      <c r="D247" s="2"/>
      <c r="E247" s="2"/>
      <c r="F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N247" s="2">
        <v>5</v>
      </c>
      <c r="AO247" s="2" t="s">
        <v>400</v>
      </c>
    </row>
    <row r="248" spans="3:41" x14ac:dyDescent="0.4">
      <c r="C248" s="2"/>
      <c r="D248" s="2"/>
      <c r="E248" s="2"/>
      <c r="F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N248" s="2">
        <v>6</v>
      </c>
      <c r="AO248" s="2" t="s">
        <v>400</v>
      </c>
    </row>
    <row r="249" spans="3:41" x14ac:dyDescent="0.4">
      <c r="C249" s="2"/>
      <c r="D249" s="2"/>
      <c r="E249" s="2"/>
      <c r="F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N249" s="2">
        <v>7</v>
      </c>
      <c r="AO249" s="2" t="s">
        <v>400</v>
      </c>
    </row>
    <row r="250" spans="3:41" x14ac:dyDescent="0.4">
      <c r="C250" s="2"/>
      <c r="D250" s="2"/>
      <c r="E250" s="2"/>
      <c r="F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N250" s="2">
        <v>8</v>
      </c>
      <c r="AO250" s="2" t="s">
        <v>400</v>
      </c>
    </row>
    <row r="251" spans="3:41" x14ac:dyDescent="0.4">
      <c r="C251" s="2"/>
      <c r="D251" s="2"/>
      <c r="E251" s="2"/>
      <c r="F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N251" s="2">
        <v>9</v>
      </c>
      <c r="AO251" s="2" t="s">
        <v>400</v>
      </c>
    </row>
    <row r="252" spans="3:41" x14ac:dyDescent="0.4">
      <c r="C252" s="2"/>
      <c r="D252" s="2"/>
      <c r="E252" s="2"/>
      <c r="F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N252" s="2">
        <v>10</v>
      </c>
      <c r="AO252" s="2" t="s">
        <v>400</v>
      </c>
    </row>
    <row r="253" spans="3:41" x14ac:dyDescent="0.4">
      <c r="C253" s="2"/>
      <c r="D253" s="2"/>
      <c r="E253" s="2"/>
      <c r="F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N253" s="2">
        <v>11</v>
      </c>
      <c r="AO253" s="2" t="s">
        <v>400</v>
      </c>
    </row>
    <row r="254" spans="3:41" x14ac:dyDescent="0.4">
      <c r="C254" s="2"/>
      <c r="D254" s="2"/>
      <c r="E254" s="2"/>
      <c r="F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N254" s="2">
        <v>12</v>
      </c>
      <c r="AO254" s="2" t="s">
        <v>400</v>
      </c>
    </row>
    <row r="255" spans="3:41" x14ac:dyDescent="0.4">
      <c r="C255" s="2"/>
      <c r="D255" s="2"/>
      <c r="E255" s="2"/>
      <c r="F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N255" s="2">
        <v>13</v>
      </c>
      <c r="AO255" s="2" t="s">
        <v>400</v>
      </c>
    </row>
    <row r="256" spans="3:41" x14ac:dyDescent="0.4">
      <c r="C256" s="2"/>
      <c r="D256" s="2"/>
      <c r="E256" s="2"/>
      <c r="F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N256" s="2">
        <v>14</v>
      </c>
      <c r="AO256" s="2" t="s">
        <v>400</v>
      </c>
    </row>
    <row r="257" spans="3:41" x14ac:dyDescent="0.4">
      <c r="C257" s="2"/>
      <c r="D257" s="2"/>
      <c r="E257" s="2"/>
      <c r="F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N257" s="2">
        <v>15</v>
      </c>
      <c r="AO257" s="2" t="s">
        <v>400</v>
      </c>
    </row>
    <row r="258" spans="3:41" x14ac:dyDescent="0.4">
      <c r="C258" s="2"/>
      <c r="D258" s="2"/>
      <c r="E258" s="2"/>
      <c r="F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N258" s="2">
        <v>16</v>
      </c>
      <c r="AO258" s="2" t="s">
        <v>400</v>
      </c>
    </row>
    <row r="259" spans="3:41" x14ac:dyDescent="0.4">
      <c r="C259" s="2"/>
      <c r="D259" s="2"/>
      <c r="E259" s="2"/>
      <c r="F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N259" s="2">
        <v>17</v>
      </c>
      <c r="AO259" s="2" t="s">
        <v>400</v>
      </c>
    </row>
    <row r="260" spans="3:41" x14ac:dyDescent="0.4">
      <c r="C260" s="2"/>
      <c r="D260" s="2"/>
      <c r="E260" s="2"/>
      <c r="F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N260" s="2">
        <v>18</v>
      </c>
      <c r="AO260" s="2" t="s">
        <v>400</v>
      </c>
    </row>
    <row r="261" spans="3:41" x14ac:dyDescent="0.4">
      <c r="C261" s="2"/>
      <c r="D261" s="2"/>
      <c r="E261" s="2"/>
      <c r="F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N261" s="2">
        <v>19</v>
      </c>
      <c r="AO261" s="2" t="s">
        <v>400</v>
      </c>
    </row>
    <row r="262" spans="3:41" x14ac:dyDescent="0.4">
      <c r="C262" s="2"/>
      <c r="D262" s="2"/>
      <c r="E262" s="2"/>
      <c r="F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N262" s="2">
        <v>20</v>
      </c>
      <c r="AO262" s="2" t="s">
        <v>400</v>
      </c>
    </row>
    <row r="263" spans="3:41" x14ac:dyDescent="0.4">
      <c r="C263" s="2"/>
      <c r="D263" s="2"/>
      <c r="E263" s="2"/>
      <c r="F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N263" s="2">
        <v>21</v>
      </c>
      <c r="AO263" s="2" t="s">
        <v>400</v>
      </c>
    </row>
    <row r="264" spans="3:41" x14ac:dyDescent="0.4">
      <c r="C264" s="2"/>
      <c r="D264" s="2"/>
      <c r="E264" s="2"/>
      <c r="F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N264" s="2">
        <v>22</v>
      </c>
      <c r="AO264" s="2" t="s">
        <v>400</v>
      </c>
    </row>
    <row r="265" spans="3:41" x14ac:dyDescent="0.4">
      <c r="C265" s="2"/>
      <c r="D265" s="2"/>
      <c r="E265" s="2"/>
      <c r="F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N265" s="2">
        <v>23</v>
      </c>
      <c r="AO265" s="2" t="s">
        <v>400</v>
      </c>
    </row>
    <row r="266" spans="3:41" x14ac:dyDescent="0.4">
      <c r="C266" s="2"/>
      <c r="D266" s="2"/>
      <c r="E266" s="2"/>
      <c r="F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N266" s="2">
        <v>24</v>
      </c>
      <c r="AO266" s="2" t="s">
        <v>400</v>
      </c>
    </row>
    <row r="267" spans="3:41" x14ac:dyDescent="0.4">
      <c r="C267" s="2"/>
      <c r="D267" s="2"/>
      <c r="E267" s="2"/>
      <c r="F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N267" s="2">
        <v>25</v>
      </c>
      <c r="AO267" s="2" t="s">
        <v>400</v>
      </c>
    </row>
    <row r="268" spans="3:41" x14ac:dyDescent="0.4">
      <c r="C268" s="2"/>
      <c r="D268" s="2"/>
      <c r="E268" s="2"/>
      <c r="F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N268" s="2">
        <v>26</v>
      </c>
      <c r="AO268" s="2" t="s">
        <v>400</v>
      </c>
    </row>
    <row r="269" spans="3:41" x14ac:dyDescent="0.4">
      <c r="C269" s="2"/>
      <c r="D269" s="2"/>
      <c r="E269" s="2"/>
      <c r="F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N269" s="2">
        <v>27</v>
      </c>
      <c r="AO269" s="2" t="s">
        <v>400</v>
      </c>
    </row>
    <row r="270" spans="3:41" x14ac:dyDescent="0.4">
      <c r="C270" s="2"/>
      <c r="D270" s="2"/>
      <c r="E270" s="2"/>
      <c r="F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N270" s="2">
        <v>28</v>
      </c>
      <c r="AO270" s="2" t="s">
        <v>400</v>
      </c>
    </row>
    <row r="271" spans="3:41" x14ac:dyDescent="0.4">
      <c r="C271" s="2"/>
      <c r="D271" s="2"/>
      <c r="E271" s="2"/>
      <c r="F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N271" s="2">
        <v>29</v>
      </c>
      <c r="AO271" s="2" t="s">
        <v>400</v>
      </c>
    </row>
    <row r="272" spans="3:41" x14ac:dyDescent="0.4">
      <c r="C272" s="2"/>
      <c r="D272" s="2"/>
      <c r="E272" s="2"/>
      <c r="F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N272" s="2">
        <v>30</v>
      </c>
      <c r="AO272" s="2" t="s">
        <v>400</v>
      </c>
    </row>
    <row r="273" spans="3:41" x14ac:dyDescent="0.4">
      <c r="C273" s="2"/>
      <c r="D273" s="2"/>
      <c r="E273" s="2"/>
      <c r="F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N273" s="2">
        <v>31</v>
      </c>
      <c r="AO273" s="2" t="s">
        <v>400</v>
      </c>
    </row>
    <row r="274" spans="3:41" x14ac:dyDescent="0.4">
      <c r="C274" s="2"/>
      <c r="D274" s="2"/>
      <c r="E274" s="2"/>
      <c r="F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N274" s="2">
        <v>32</v>
      </c>
      <c r="AO274" s="2" t="s">
        <v>400</v>
      </c>
    </row>
    <row r="275" spans="3:41" x14ac:dyDescent="0.4">
      <c r="C275" s="2"/>
      <c r="D275" s="2"/>
      <c r="E275" s="2"/>
      <c r="F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N275" s="2">
        <v>33</v>
      </c>
      <c r="AO275" s="2" t="s">
        <v>400</v>
      </c>
    </row>
    <row r="276" spans="3:41" x14ac:dyDescent="0.4">
      <c r="C276" s="2"/>
      <c r="D276" s="2"/>
      <c r="E276" s="2"/>
      <c r="F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N276" s="2">
        <v>34</v>
      </c>
      <c r="AO276" s="2" t="s">
        <v>400</v>
      </c>
    </row>
    <row r="277" spans="3:41" x14ac:dyDescent="0.4">
      <c r="C277" s="2"/>
      <c r="D277" s="2"/>
      <c r="E277" s="2"/>
      <c r="F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N277" s="2">
        <v>35</v>
      </c>
      <c r="AO277" s="2" t="s">
        <v>400</v>
      </c>
    </row>
    <row r="278" spans="3:41" x14ac:dyDescent="0.4">
      <c r="C278" s="2"/>
      <c r="D278" s="2"/>
      <c r="E278" s="2"/>
      <c r="F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N278" s="2">
        <v>36</v>
      </c>
      <c r="AO278" s="2" t="s">
        <v>400</v>
      </c>
    </row>
    <row r="279" spans="3:41" x14ac:dyDescent="0.4">
      <c r="C279" s="2"/>
      <c r="D279" s="2"/>
      <c r="E279" s="2"/>
      <c r="F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N279" s="2">
        <v>37</v>
      </c>
      <c r="AO279" s="2" t="s">
        <v>400</v>
      </c>
    </row>
    <row r="280" spans="3:41" x14ac:dyDescent="0.4">
      <c r="C280" s="2"/>
      <c r="D280" s="2"/>
      <c r="E280" s="2"/>
      <c r="F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N280" s="2">
        <v>38</v>
      </c>
      <c r="AO280" s="2" t="s">
        <v>400</v>
      </c>
    </row>
    <row r="281" spans="3:41" x14ac:dyDescent="0.4">
      <c r="C281" s="2"/>
      <c r="D281" s="2"/>
      <c r="E281" s="2"/>
      <c r="F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N281" s="2">
        <v>39</v>
      </c>
      <c r="AO281" s="2" t="s">
        <v>400</v>
      </c>
    </row>
    <row r="282" spans="3:41" x14ac:dyDescent="0.4">
      <c r="C282" s="2"/>
      <c r="D282" s="2"/>
      <c r="E282" s="2"/>
      <c r="F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N282" s="2">
        <v>40</v>
      </c>
      <c r="AO282" s="2" t="s">
        <v>400</v>
      </c>
    </row>
    <row r="283" spans="3:41" x14ac:dyDescent="0.4">
      <c r="C283" s="2"/>
      <c r="D283" s="2"/>
      <c r="E283" s="2"/>
      <c r="F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N283" s="2">
        <v>41</v>
      </c>
      <c r="AO283" s="2" t="s">
        <v>400</v>
      </c>
    </row>
    <row r="284" spans="3:41" x14ac:dyDescent="0.4">
      <c r="C284" s="2"/>
      <c r="D284" s="2"/>
      <c r="E284" s="2"/>
      <c r="F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N284" s="2">
        <v>42</v>
      </c>
      <c r="AO284" s="2" t="s">
        <v>400</v>
      </c>
    </row>
    <row r="285" spans="3:41" x14ac:dyDescent="0.4">
      <c r="C285" s="2"/>
      <c r="D285" s="2"/>
      <c r="E285" s="2"/>
      <c r="F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N285" s="2">
        <v>43</v>
      </c>
      <c r="AO285" s="2" t="s">
        <v>400</v>
      </c>
    </row>
    <row r="286" spans="3:41" x14ac:dyDescent="0.4">
      <c r="C286" s="2"/>
      <c r="D286" s="2"/>
      <c r="E286" s="2"/>
      <c r="F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N286" s="2">
        <v>44</v>
      </c>
      <c r="AO286" s="2" t="s">
        <v>400</v>
      </c>
    </row>
    <row r="287" spans="3:41" x14ac:dyDescent="0.4">
      <c r="C287" s="2"/>
      <c r="D287" s="2"/>
      <c r="E287" s="2"/>
      <c r="F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N287" s="2">
        <v>45</v>
      </c>
      <c r="AO287" s="2" t="s">
        <v>400</v>
      </c>
    </row>
    <row r="288" spans="3:41" x14ac:dyDescent="0.4">
      <c r="C288" s="2"/>
      <c r="D288" s="2"/>
      <c r="E288" s="2"/>
      <c r="F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N288" s="2">
        <v>46</v>
      </c>
      <c r="AO288" s="2" t="s">
        <v>400</v>
      </c>
    </row>
    <row r="289" spans="3:41" x14ac:dyDescent="0.4">
      <c r="C289" s="2"/>
      <c r="D289" s="2"/>
      <c r="E289" s="2"/>
      <c r="F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N289" s="2">
        <v>47</v>
      </c>
      <c r="AO289" s="2" t="s">
        <v>400</v>
      </c>
    </row>
    <row r="290" spans="3:41" x14ac:dyDescent="0.4">
      <c r="C290" s="2"/>
      <c r="D290" s="2"/>
      <c r="E290" s="2"/>
      <c r="F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N290" s="2">
        <v>48</v>
      </c>
      <c r="AO290" s="2" t="s">
        <v>400</v>
      </c>
    </row>
    <row r="291" spans="3:41" x14ac:dyDescent="0.4">
      <c r="C291" s="2"/>
      <c r="D291" s="2"/>
      <c r="E291" s="2"/>
      <c r="F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N291" s="2">
        <v>49</v>
      </c>
      <c r="AO291" s="2" t="s">
        <v>400</v>
      </c>
    </row>
    <row r="292" spans="3:41" x14ac:dyDescent="0.4">
      <c r="C292" s="2"/>
      <c r="D292" s="2"/>
      <c r="E292" s="2"/>
      <c r="F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N292" s="2">
        <v>50</v>
      </c>
      <c r="AO292" s="2" t="s">
        <v>400</v>
      </c>
    </row>
    <row r="293" spans="3:41" x14ac:dyDescent="0.4">
      <c r="C293" s="2"/>
      <c r="D293" s="2"/>
      <c r="E293" s="2"/>
      <c r="F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N293" s="2">
        <v>51</v>
      </c>
      <c r="AO293" s="2" t="s">
        <v>400</v>
      </c>
    </row>
    <row r="294" spans="3:41" x14ac:dyDescent="0.4">
      <c r="C294" s="2"/>
      <c r="D294" s="2"/>
      <c r="E294" s="2"/>
      <c r="F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N294" s="2">
        <v>52</v>
      </c>
      <c r="AO294" s="2" t="s">
        <v>400</v>
      </c>
    </row>
    <row r="295" spans="3:41" x14ac:dyDescent="0.4">
      <c r="C295" s="2"/>
      <c r="D295" s="2"/>
      <c r="E295" s="2"/>
      <c r="F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N295" s="2">
        <v>53</v>
      </c>
      <c r="AO295" s="2" t="s">
        <v>400</v>
      </c>
    </row>
    <row r="296" spans="3:41" x14ac:dyDescent="0.4">
      <c r="C296" s="2"/>
      <c r="D296" s="2"/>
      <c r="E296" s="2"/>
      <c r="F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N296" s="2">
        <v>54</v>
      </c>
      <c r="AO296" s="2" t="s">
        <v>400</v>
      </c>
    </row>
    <row r="297" spans="3:41" x14ac:dyDescent="0.4">
      <c r="C297" s="2"/>
      <c r="D297" s="2"/>
      <c r="E297" s="2"/>
      <c r="F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N297" s="2">
        <v>55</v>
      </c>
      <c r="AO297" s="2" t="s">
        <v>400</v>
      </c>
    </row>
    <row r="298" spans="3:41" x14ac:dyDescent="0.4">
      <c r="C298" s="2"/>
      <c r="D298" s="2"/>
      <c r="E298" s="2"/>
      <c r="F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N298" s="2">
        <v>56</v>
      </c>
      <c r="AO298" s="2" t="s">
        <v>400</v>
      </c>
    </row>
    <row r="299" spans="3:41" x14ac:dyDescent="0.4">
      <c r="C299" s="2"/>
      <c r="D299" s="2"/>
      <c r="E299" s="2"/>
      <c r="F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N299" s="2">
        <v>57</v>
      </c>
      <c r="AO299" s="2" t="s">
        <v>400</v>
      </c>
    </row>
    <row r="300" spans="3:41" x14ac:dyDescent="0.4">
      <c r="C300" s="2"/>
      <c r="D300" s="2"/>
      <c r="E300" s="2"/>
      <c r="F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N300" s="2">
        <v>58</v>
      </c>
      <c r="AO300" s="2" t="s">
        <v>400</v>
      </c>
    </row>
    <row r="301" spans="3:41" x14ac:dyDescent="0.4">
      <c r="C301" s="2"/>
      <c r="D301" s="2"/>
      <c r="E301" s="2"/>
      <c r="F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N301" s="2">
        <v>59</v>
      </c>
      <c r="AO301" s="2" t="s">
        <v>400</v>
      </c>
    </row>
    <row r="302" spans="3:41" x14ac:dyDescent="0.4">
      <c r="C302" s="2"/>
      <c r="D302" s="2"/>
      <c r="E302" s="2"/>
      <c r="F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N302" s="2">
        <v>60</v>
      </c>
      <c r="AO302" s="2" t="s">
        <v>400</v>
      </c>
    </row>
    <row r="303" spans="3:41" x14ac:dyDescent="0.4">
      <c r="C303" s="2"/>
      <c r="D303" s="2"/>
      <c r="E303" s="2"/>
      <c r="F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N303" s="2">
        <v>61</v>
      </c>
      <c r="AO303" s="2" t="s">
        <v>400</v>
      </c>
    </row>
    <row r="304" spans="3:41" x14ac:dyDescent="0.4">
      <c r="C304" s="2"/>
      <c r="D304" s="2"/>
      <c r="E304" s="2"/>
      <c r="F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N304" s="2">
        <v>62</v>
      </c>
      <c r="AO304" s="2" t="s">
        <v>400</v>
      </c>
    </row>
    <row r="305" spans="3:41" x14ac:dyDescent="0.4">
      <c r="C305" s="2"/>
      <c r="D305" s="2"/>
      <c r="E305" s="2"/>
      <c r="F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N305" s="2">
        <v>63</v>
      </c>
      <c r="AO305" s="2" t="s">
        <v>400</v>
      </c>
    </row>
    <row r="306" spans="3:41" x14ac:dyDescent="0.4">
      <c r="C306" s="2"/>
      <c r="D306" s="2"/>
      <c r="E306" s="2"/>
      <c r="F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N306" s="2">
        <v>64</v>
      </c>
      <c r="AO306" s="2" t="s">
        <v>400</v>
      </c>
    </row>
    <row r="307" spans="3:41" x14ac:dyDescent="0.4">
      <c r="C307" s="2"/>
      <c r="D307" s="2"/>
      <c r="E307" s="2"/>
      <c r="F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N307" s="2">
        <v>65</v>
      </c>
      <c r="AO307" s="2" t="s">
        <v>400</v>
      </c>
    </row>
    <row r="308" spans="3:41" x14ac:dyDescent="0.4">
      <c r="C308" s="2"/>
      <c r="D308" s="2"/>
      <c r="E308" s="2"/>
      <c r="F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N308" s="2">
        <v>66</v>
      </c>
      <c r="AO308" s="2" t="s">
        <v>400</v>
      </c>
    </row>
    <row r="309" spans="3:41" x14ac:dyDescent="0.4">
      <c r="C309" s="2"/>
      <c r="D309" s="2"/>
      <c r="E309" s="2"/>
      <c r="F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N309" s="2">
        <v>67</v>
      </c>
      <c r="AO309" s="2" t="s">
        <v>400</v>
      </c>
    </row>
    <row r="310" spans="3:41" x14ac:dyDescent="0.4">
      <c r="C310" s="2"/>
      <c r="D310" s="2"/>
      <c r="E310" s="2"/>
      <c r="F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N310" s="2">
        <v>68</v>
      </c>
      <c r="AO310" s="2" t="s">
        <v>400</v>
      </c>
    </row>
    <row r="311" spans="3:41" x14ac:dyDescent="0.4">
      <c r="C311" s="2"/>
      <c r="D311" s="2"/>
      <c r="E311" s="2"/>
      <c r="F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N311" s="2">
        <v>69</v>
      </c>
      <c r="AO311" s="2" t="s">
        <v>400</v>
      </c>
    </row>
    <row r="312" spans="3:41" x14ac:dyDescent="0.4">
      <c r="C312" s="2"/>
      <c r="D312" s="2"/>
      <c r="E312" s="2"/>
      <c r="F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N312" s="2">
        <v>70</v>
      </c>
      <c r="AO312" s="2" t="s">
        <v>400</v>
      </c>
    </row>
    <row r="313" spans="3:41" x14ac:dyDescent="0.4">
      <c r="C313" s="2"/>
      <c r="D313" s="2"/>
      <c r="E313" s="2"/>
      <c r="F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N313" s="2">
        <v>71</v>
      </c>
      <c r="AO313" s="2" t="s">
        <v>400</v>
      </c>
    </row>
    <row r="314" spans="3:41" x14ac:dyDescent="0.4">
      <c r="C314" s="2"/>
      <c r="D314" s="2"/>
      <c r="E314" s="2"/>
      <c r="F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N314" s="2">
        <v>72</v>
      </c>
      <c r="AO314" s="2" t="s">
        <v>400</v>
      </c>
    </row>
    <row r="315" spans="3:41" x14ac:dyDescent="0.4">
      <c r="C315" s="2"/>
      <c r="D315" s="2"/>
      <c r="E315" s="2"/>
      <c r="F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N315" s="2">
        <v>73</v>
      </c>
      <c r="AO315" s="2" t="s">
        <v>400</v>
      </c>
    </row>
    <row r="316" spans="3:41" x14ac:dyDescent="0.4">
      <c r="C316" s="2"/>
      <c r="D316" s="2"/>
      <c r="E316" s="2"/>
      <c r="F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N316" s="2">
        <v>74</v>
      </c>
      <c r="AO316" s="2" t="s">
        <v>400</v>
      </c>
    </row>
    <row r="317" spans="3:41" x14ac:dyDescent="0.4">
      <c r="C317" s="2"/>
      <c r="D317" s="2"/>
      <c r="E317" s="2"/>
      <c r="F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N317" s="2">
        <v>75</v>
      </c>
      <c r="AO317" s="2" t="s">
        <v>400</v>
      </c>
    </row>
    <row r="318" spans="3:41" x14ac:dyDescent="0.4">
      <c r="C318" s="2"/>
      <c r="D318" s="2"/>
      <c r="E318" s="2"/>
      <c r="F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N318" s="2">
        <v>76</v>
      </c>
      <c r="AO318" s="2" t="s">
        <v>400</v>
      </c>
    </row>
    <row r="319" spans="3:41" x14ac:dyDescent="0.4">
      <c r="C319" s="2"/>
      <c r="D319" s="2"/>
      <c r="E319" s="2"/>
      <c r="F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N319" s="2">
        <v>77</v>
      </c>
      <c r="AO319" s="2" t="s">
        <v>400</v>
      </c>
    </row>
    <row r="320" spans="3:41" x14ac:dyDescent="0.4">
      <c r="C320" s="2"/>
      <c r="D320" s="2"/>
      <c r="E320" s="2"/>
      <c r="F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N320" s="2">
        <v>78</v>
      </c>
      <c r="AO320" s="2" t="s">
        <v>400</v>
      </c>
    </row>
    <row r="321" spans="3:41" x14ac:dyDescent="0.4">
      <c r="C321" s="2"/>
      <c r="D321" s="2"/>
      <c r="E321" s="2"/>
      <c r="F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N321" s="2">
        <v>79</v>
      </c>
      <c r="AO321" s="2" t="s">
        <v>400</v>
      </c>
    </row>
    <row r="322" spans="3:41" x14ac:dyDescent="0.4">
      <c r="C322" s="2"/>
      <c r="D322" s="2"/>
      <c r="E322" s="2"/>
      <c r="F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N322" s="2">
        <v>80</v>
      </c>
      <c r="AO322" s="2" t="s">
        <v>400</v>
      </c>
    </row>
    <row r="323" spans="3:41" x14ac:dyDescent="0.4">
      <c r="C323" s="2"/>
      <c r="D323" s="2"/>
      <c r="E323" s="2"/>
      <c r="F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N323" s="2">
        <v>81</v>
      </c>
      <c r="AO323" s="2" t="s">
        <v>400</v>
      </c>
    </row>
    <row r="324" spans="3:41" x14ac:dyDescent="0.4">
      <c r="C324" s="2"/>
      <c r="D324" s="2"/>
      <c r="E324" s="2"/>
      <c r="F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N324" s="2">
        <v>82</v>
      </c>
      <c r="AO324" s="2" t="s">
        <v>400</v>
      </c>
    </row>
    <row r="325" spans="3:41" x14ac:dyDescent="0.4">
      <c r="C325" s="2"/>
      <c r="D325" s="2"/>
      <c r="E325" s="2"/>
      <c r="F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N325" s="2">
        <v>1</v>
      </c>
      <c r="AO325" s="2" t="s">
        <v>422</v>
      </c>
    </row>
    <row r="326" spans="3:41" x14ac:dyDescent="0.4">
      <c r="C326" s="2"/>
      <c r="D326" s="2"/>
      <c r="E326" s="2"/>
      <c r="F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N326" s="2">
        <v>2</v>
      </c>
      <c r="AO326" s="2" t="s">
        <v>422</v>
      </c>
    </row>
    <row r="327" spans="3:41" x14ac:dyDescent="0.4">
      <c r="C327" s="2"/>
      <c r="D327" s="2"/>
      <c r="E327" s="2"/>
      <c r="F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N327" s="2">
        <v>3</v>
      </c>
      <c r="AO327" s="2" t="s">
        <v>422</v>
      </c>
    </row>
    <row r="328" spans="3:41" x14ac:dyDescent="0.4">
      <c r="C328" s="2"/>
      <c r="D328" s="2"/>
      <c r="E328" s="2"/>
      <c r="F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N328" s="2">
        <v>4</v>
      </c>
      <c r="AO328" s="2" t="s">
        <v>422</v>
      </c>
    </row>
    <row r="329" spans="3:41" x14ac:dyDescent="0.4">
      <c r="C329" s="2"/>
      <c r="D329" s="2"/>
      <c r="E329" s="2"/>
      <c r="F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N329" s="2">
        <v>5</v>
      </c>
      <c r="AO329" s="2" t="s">
        <v>422</v>
      </c>
    </row>
    <row r="330" spans="3:41" x14ac:dyDescent="0.4">
      <c r="C330" s="2"/>
      <c r="D330" s="2"/>
      <c r="E330" s="2"/>
      <c r="F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N330" s="2">
        <v>6</v>
      </c>
      <c r="AO330" s="2" t="s">
        <v>422</v>
      </c>
    </row>
    <row r="331" spans="3:41" x14ac:dyDescent="0.4">
      <c r="C331" s="2"/>
      <c r="D331" s="2"/>
      <c r="E331" s="2"/>
      <c r="F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N331" s="2">
        <v>7</v>
      </c>
      <c r="AO331" s="2" t="s">
        <v>422</v>
      </c>
    </row>
    <row r="332" spans="3:41" x14ac:dyDescent="0.4">
      <c r="C332" s="2"/>
      <c r="D332" s="2"/>
      <c r="E332" s="2"/>
      <c r="F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N332" s="2">
        <v>8</v>
      </c>
      <c r="AO332" s="2" t="s">
        <v>422</v>
      </c>
    </row>
    <row r="333" spans="3:41" x14ac:dyDescent="0.4">
      <c r="C333" s="2"/>
      <c r="D333" s="2"/>
      <c r="E333" s="2"/>
      <c r="F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N333" s="2">
        <v>9</v>
      </c>
      <c r="AO333" s="2" t="s">
        <v>422</v>
      </c>
    </row>
    <row r="334" spans="3:41" x14ac:dyDescent="0.4">
      <c r="C334" s="2"/>
      <c r="D334" s="2"/>
      <c r="E334" s="2"/>
      <c r="F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N334" s="2">
        <v>10</v>
      </c>
      <c r="AO334" s="2" t="s">
        <v>422</v>
      </c>
    </row>
    <row r="335" spans="3:41" x14ac:dyDescent="0.4">
      <c r="C335" s="2"/>
      <c r="D335" s="2"/>
      <c r="E335" s="2"/>
      <c r="F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N335" s="2">
        <v>11</v>
      </c>
      <c r="AO335" s="2" t="s">
        <v>422</v>
      </c>
    </row>
    <row r="336" spans="3:41" x14ac:dyDescent="0.4">
      <c r="C336" s="2"/>
      <c r="D336" s="2"/>
      <c r="E336" s="2"/>
      <c r="F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N336" s="2">
        <v>12</v>
      </c>
      <c r="AO336" s="2" t="s">
        <v>422</v>
      </c>
    </row>
    <row r="337" spans="3:41" x14ac:dyDescent="0.4">
      <c r="C337" s="2"/>
      <c r="D337" s="2"/>
      <c r="E337" s="2"/>
      <c r="F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N337" s="2">
        <v>13</v>
      </c>
      <c r="AO337" s="2" t="s">
        <v>422</v>
      </c>
    </row>
    <row r="338" spans="3:41" x14ac:dyDescent="0.4">
      <c r="C338" s="2"/>
      <c r="D338" s="2"/>
      <c r="E338" s="2"/>
      <c r="F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N338" s="2">
        <v>14</v>
      </c>
      <c r="AO338" s="2" t="s">
        <v>422</v>
      </c>
    </row>
    <row r="339" spans="3:41" x14ac:dyDescent="0.4">
      <c r="C339" s="2"/>
      <c r="D339" s="2"/>
      <c r="E339" s="2"/>
      <c r="F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N339" s="2">
        <v>15</v>
      </c>
      <c r="AO339" s="2" t="s">
        <v>422</v>
      </c>
    </row>
    <row r="340" spans="3:41" x14ac:dyDescent="0.4">
      <c r="C340" s="2"/>
      <c r="D340" s="2"/>
      <c r="E340" s="2"/>
      <c r="F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N340" s="2">
        <v>16</v>
      </c>
      <c r="AO340" s="2" t="s">
        <v>422</v>
      </c>
    </row>
    <row r="341" spans="3:41" x14ac:dyDescent="0.4">
      <c r="C341" s="2"/>
      <c r="D341" s="2"/>
      <c r="E341" s="2"/>
      <c r="F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N341" s="2">
        <v>17</v>
      </c>
      <c r="AO341" s="2" t="s">
        <v>422</v>
      </c>
    </row>
    <row r="342" spans="3:41" x14ac:dyDescent="0.4">
      <c r="C342" s="2"/>
      <c r="D342" s="2"/>
      <c r="E342" s="2"/>
      <c r="F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N342" s="2">
        <v>18</v>
      </c>
      <c r="AO342" s="2" t="s">
        <v>422</v>
      </c>
    </row>
    <row r="343" spans="3:41" x14ac:dyDescent="0.4">
      <c r="C343" s="2"/>
      <c r="D343" s="2"/>
      <c r="E343" s="2"/>
      <c r="F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N343" s="2">
        <v>19</v>
      </c>
      <c r="AO343" s="2" t="s">
        <v>422</v>
      </c>
    </row>
    <row r="344" spans="3:41" x14ac:dyDescent="0.4">
      <c r="C344" s="2"/>
      <c r="D344" s="2"/>
      <c r="E344" s="2"/>
      <c r="F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N344" s="2">
        <v>20</v>
      </c>
      <c r="AO344" s="2" t="s">
        <v>422</v>
      </c>
    </row>
    <row r="345" spans="3:41" x14ac:dyDescent="0.4">
      <c r="C345" s="2"/>
      <c r="D345" s="2"/>
      <c r="E345" s="2"/>
      <c r="F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N345" s="2">
        <v>21</v>
      </c>
      <c r="AO345" s="2" t="s">
        <v>422</v>
      </c>
    </row>
    <row r="346" spans="3:41" x14ac:dyDescent="0.4">
      <c r="C346" s="2"/>
      <c r="D346" s="2"/>
      <c r="E346" s="2"/>
      <c r="F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N346" s="2">
        <v>22</v>
      </c>
      <c r="AO346" s="2" t="s">
        <v>422</v>
      </c>
    </row>
    <row r="347" spans="3:41" x14ac:dyDescent="0.4">
      <c r="C347" s="2"/>
      <c r="D347" s="2"/>
      <c r="E347" s="2"/>
      <c r="F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N347" s="2">
        <v>23</v>
      </c>
      <c r="AO347" s="2" t="s">
        <v>422</v>
      </c>
    </row>
    <row r="348" spans="3:41" x14ac:dyDescent="0.4">
      <c r="C348" s="2"/>
      <c r="D348" s="2"/>
      <c r="E348" s="2"/>
      <c r="F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N348" s="2">
        <v>24</v>
      </c>
      <c r="AO348" s="2" t="s">
        <v>422</v>
      </c>
    </row>
    <row r="349" spans="3:41" x14ac:dyDescent="0.4">
      <c r="C349" s="2"/>
      <c r="D349" s="2"/>
      <c r="E349" s="2"/>
      <c r="F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N349" s="2">
        <v>25</v>
      </c>
      <c r="AO349" s="2" t="s">
        <v>422</v>
      </c>
    </row>
    <row r="350" spans="3:41" x14ac:dyDescent="0.4">
      <c r="C350" s="2"/>
      <c r="D350" s="2"/>
      <c r="E350" s="2"/>
      <c r="F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N350" s="2">
        <v>26</v>
      </c>
      <c r="AO350" s="2" t="s">
        <v>422</v>
      </c>
    </row>
    <row r="351" spans="3:41" x14ac:dyDescent="0.4">
      <c r="C351" s="2"/>
      <c r="D351" s="2"/>
      <c r="E351" s="2"/>
      <c r="F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N351" s="2">
        <v>27</v>
      </c>
      <c r="AO351" s="2" t="s">
        <v>422</v>
      </c>
    </row>
    <row r="352" spans="3:41" x14ac:dyDescent="0.4">
      <c r="C352" s="2"/>
      <c r="D352" s="2"/>
      <c r="E352" s="2"/>
      <c r="F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N352" s="2">
        <v>28</v>
      </c>
      <c r="AO352" s="2" t="s">
        <v>422</v>
      </c>
    </row>
    <row r="353" spans="3:41" x14ac:dyDescent="0.4">
      <c r="C353" s="2"/>
      <c r="D353" s="2"/>
      <c r="E353" s="2"/>
      <c r="F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N353" s="2">
        <v>29</v>
      </c>
      <c r="AO353" s="2" t="s">
        <v>422</v>
      </c>
    </row>
    <row r="354" spans="3:41" x14ac:dyDescent="0.4">
      <c r="C354" s="2"/>
      <c r="D354" s="2"/>
      <c r="E354" s="2"/>
      <c r="F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N354" s="2">
        <v>30</v>
      </c>
      <c r="AO354" s="2" t="s">
        <v>422</v>
      </c>
    </row>
    <row r="355" spans="3:41" x14ac:dyDescent="0.4">
      <c r="C355" s="2"/>
      <c r="D355" s="2"/>
      <c r="E355" s="2"/>
      <c r="F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N355" s="2">
        <v>31</v>
      </c>
      <c r="AO355" s="2" t="s">
        <v>422</v>
      </c>
    </row>
    <row r="356" spans="3:41" x14ac:dyDescent="0.4">
      <c r="C356" s="2"/>
      <c r="D356" s="2"/>
      <c r="E356" s="2"/>
      <c r="F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N356" s="2">
        <v>32</v>
      </c>
      <c r="AO356" s="2" t="s">
        <v>422</v>
      </c>
    </row>
    <row r="357" spans="3:41" x14ac:dyDescent="0.4">
      <c r="C357" s="2"/>
      <c r="D357" s="2"/>
      <c r="E357" s="2"/>
      <c r="F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N357" s="2">
        <v>33</v>
      </c>
      <c r="AO357" s="2" t="s">
        <v>422</v>
      </c>
    </row>
    <row r="358" spans="3:41" x14ac:dyDescent="0.4">
      <c r="C358" s="2"/>
      <c r="D358" s="2"/>
      <c r="E358" s="2"/>
      <c r="F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N358" s="2">
        <v>34</v>
      </c>
      <c r="AO358" s="2" t="s">
        <v>422</v>
      </c>
    </row>
    <row r="359" spans="3:41" x14ac:dyDescent="0.4">
      <c r="C359" s="2"/>
      <c r="D359" s="2"/>
      <c r="E359" s="2"/>
      <c r="F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N359" s="2">
        <v>35</v>
      </c>
      <c r="AO359" s="2" t="s">
        <v>422</v>
      </c>
    </row>
    <row r="360" spans="3:41" x14ac:dyDescent="0.4">
      <c r="C360" s="2"/>
      <c r="D360" s="2"/>
      <c r="E360" s="2"/>
      <c r="F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N360" s="2">
        <v>36</v>
      </c>
      <c r="AO360" s="2" t="s">
        <v>422</v>
      </c>
    </row>
    <row r="361" spans="3:41" x14ac:dyDescent="0.4">
      <c r="C361" s="2"/>
      <c r="D361" s="2"/>
      <c r="E361" s="2"/>
      <c r="F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N361" s="2">
        <v>37</v>
      </c>
      <c r="AO361" s="2" t="s">
        <v>422</v>
      </c>
    </row>
    <row r="362" spans="3:41" x14ac:dyDescent="0.4">
      <c r="C362" s="2"/>
      <c r="D362" s="2"/>
      <c r="E362" s="2"/>
      <c r="F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N362" s="2">
        <v>38</v>
      </c>
      <c r="AO362" s="2" t="s">
        <v>422</v>
      </c>
    </row>
    <row r="363" spans="3:41" x14ac:dyDescent="0.4">
      <c r="C363" s="2"/>
      <c r="D363" s="2"/>
      <c r="E363" s="2"/>
      <c r="F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N363" s="2">
        <v>39</v>
      </c>
      <c r="AO363" s="2" t="s">
        <v>422</v>
      </c>
    </row>
    <row r="364" spans="3:41" x14ac:dyDescent="0.4">
      <c r="C364" s="2"/>
      <c r="D364" s="2"/>
      <c r="E364" s="2"/>
      <c r="F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N364" s="2">
        <v>40</v>
      </c>
      <c r="AO364" s="2" t="s">
        <v>422</v>
      </c>
    </row>
    <row r="365" spans="3:41" x14ac:dyDescent="0.4">
      <c r="C365" s="2"/>
      <c r="D365" s="2"/>
      <c r="E365" s="2"/>
      <c r="F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N365" s="2">
        <v>41</v>
      </c>
      <c r="AO365" s="2" t="s">
        <v>422</v>
      </c>
    </row>
    <row r="366" spans="3:41" x14ac:dyDescent="0.4">
      <c r="C366" s="2"/>
      <c r="D366" s="2"/>
      <c r="E366" s="2"/>
      <c r="F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N366" s="2">
        <v>42</v>
      </c>
      <c r="AO366" s="2" t="s">
        <v>422</v>
      </c>
    </row>
    <row r="367" spans="3:41" x14ac:dyDescent="0.4">
      <c r="C367" s="2"/>
      <c r="D367" s="2"/>
      <c r="E367" s="2"/>
      <c r="F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N367" s="2">
        <v>43</v>
      </c>
      <c r="AO367" s="2" t="s">
        <v>422</v>
      </c>
    </row>
    <row r="368" spans="3:41" x14ac:dyDescent="0.4">
      <c r="C368" s="2"/>
      <c r="D368" s="2"/>
      <c r="E368" s="2"/>
      <c r="F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N368" s="2">
        <v>44</v>
      </c>
      <c r="AO368" s="2" t="s">
        <v>422</v>
      </c>
    </row>
    <row r="369" spans="3:41" x14ac:dyDescent="0.4">
      <c r="C369" s="2"/>
      <c r="D369" s="2"/>
      <c r="E369" s="2"/>
      <c r="F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N369" s="2">
        <v>45</v>
      </c>
      <c r="AO369" s="2" t="s">
        <v>422</v>
      </c>
    </row>
    <row r="370" spans="3:41" x14ac:dyDescent="0.4">
      <c r="C370" s="2"/>
      <c r="D370" s="2"/>
      <c r="E370" s="2"/>
      <c r="F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N370" s="2">
        <v>46</v>
      </c>
      <c r="AO370" s="2" t="s">
        <v>422</v>
      </c>
    </row>
    <row r="371" spans="3:41" x14ac:dyDescent="0.4">
      <c r="C371" s="2"/>
      <c r="D371" s="2"/>
      <c r="E371" s="2"/>
      <c r="F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N371" s="2">
        <v>47</v>
      </c>
      <c r="AO371" s="2" t="s">
        <v>422</v>
      </c>
    </row>
    <row r="372" spans="3:41" x14ac:dyDescent="0.4">
      <c r="C372" s="2"/>
      <c r="D372" s="2"/>
      <c r="E372" s="2"/>
      <c r="F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N372" s="2">
        <v>48</v>
      </c>
      <c r="AO372" s="2" t="s">
        <v>422</v>
      </c>
    </row>
    <row r="373" spans="3:41" x14ac:dyDescent="0.4">
      <c r="C373" s="2"/>
      <c r="D373" s="2"/>
      <c r="E373" s="2"/>
      <c r="F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N373" s="2">
        <v>49</v>
      </c>
      <c r="AO373" s="2" t="s">
        <v>422</v>
      </c>
    </row>
    <row r="374" spans="3:41" x14ac:dyDescent="0.4">
      <c r="C374" s="2"/>
      <c r="D374" s="2"/>
      <c r="E374" s="2"/>
      <c r="F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N374" s="2">
        <v>50</v>
      </c>
      <c r="AO374" s="2" t="s">
        <v>422</v>
      </c>
    </row>
    <row r="375" spans="3:41" x14ac:dyDescent="0.4">
      <c r="C375" s="2"/>
      <c r="D375" s="2"/>
      <c r="E375" s="2"/>
      <c r="F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N375" s="2">
        <v>51</v>
      </c>
      <c r="AO375" s="2" t="s">
        <v>422</v>
      </c>
    </row>
    <row r="376" spans="3:41" x14ac:dyDescent="0.4">
      <c r="C376" s="2"/>
      <c r="D376" s="2"/>
      <c r="E376" s="2"/>
      <c r="F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N376" s="2">
        <v>52</v>
      </c>
      <c r="AO376" s="2" t="s">
        <v>422</v>
      </c>
    </row>
    <row r="377" spans="3:41" x14ac:dyDescent="0.4">
      <c r="C377" s="2"/>
      <c r="D377" s="2"/>
      <c r="E377" s="2"/>
      <c r="F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N377" s="2">
        <v>53</v>
      </c>
      <c r="AO377" s="2" t="s">
        <v>422</v>
      </c>
    </row>
    <row r="378" spans="3:41" x14ac:dyDescent="0.4">
      <c r="C378" s="2"/>
      <c r="D378" s="2"/>
      <c r="E378" s="2"/>
      <c r="F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N378" s="2">
        <v>54</v>
      </c>
      <c r="AO378" s="2" t="s">
        <v>422</v>
      </c>
    </row>
    <row r="379" spans="3:41" x14ac:dyDescent="0.4">
      <c r="C379" s="2"/>
      <c r="D379" s="2"/>
      <c r="E379" s="2"/>
      <c r="F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N379" s="2">
        <v>55</v>
      </c>
      <c r="AO379" s="2" t="s">
        <v>422</v>
      </c>
    </row>
    <row r="380" spans="3:41" x14ac:dyDescent="0.4">
      <c r="C380" s="2"/>
      <c r="D380" s="2"/>
      <c r="E380" s="2"/>
      <c r="F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N380" s="2">
        <v>56</v>
      </c>
      <c r="AO380" s="2" t="s">
        <v>422</v>
      </c>
    </row>
    <row r="381" spans="3:41" x14ac:dyDescent="0.4">
      <c r="C381" s="2"/>
      <c r="D381" s="2"/>
      <c r="E381" s="2"/>
      <c r="F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N381" s="2">
        <v>57</v>
      </c>
      <c r="AO381" s="2" t="s">
        <v>422</v>
      </c>
    </row>
    <row r="382" spans="3:41" x14ac:dyDescent="0.4">
      <c r="C382" s="2"/>
      <c r="D382" s="2"/>
      <c r="E382" s="2"/>
      <c r="F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N382" s="2">
        <v>58</v>
      </c>
      <c r="AO382" s="2" t="s">
        <v>422</v>
      </c>
    </row>
    <row r="383" spans="3:41" x14ac:dyDescent="0.4">
      <c r="C383" s="2"/>
      <c r="D383" s="2"/>
      <c r="E383" s="2"/>
      <c r="F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N383" s="2">
        <v>59</v>
      </c>
      <c r="AO383" s="2" t="s">
        <v>422</v>
      </c>
    </row>
    <row r="384" spans="3:41" x14ac:dyDescent="0.4">
      <c r="C384" s="2"/>
      <c r="D384" s="2"/>
      <c r="E384" s="2"/>
      <c r="F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N384" s="2">
        <v>60</v>
      </c>
      <c r="AO384" s="2" t="s">
        <v>422</v>
      </c>
    </row>
    <row r="385" spans="3:41" x14ac:dyDescent="0.4">
      <c r="C385" s="2"/>
      <c r="D385" s="2"/>
      <c r="E385" s="2"/>
      <c r="F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N385" s="2">
        <v>61</v>
      </c>
      <c r="AO385" s="2" t="s">
        <v>422</v>
      </c>
    </row>
    <row r="386" spans="3:41" x14ac:dyDescent="0.4">
      <c r="C386" s="2"/>
      <c r="D386" s="2"/>
      <c r="E386" s="2"/>
      <c r="F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N386" s="2">
        <v>62</v>
      </c>
      <c r="AO386" s="2" t="s">
        <v>422</v>
      </c>
    </row>
    <row r="387" spans="3:41" x14ac:dyDescent="0.4">
      <c r="C387" s="2"/>
      <c r="D387" s="2"/>
      <c r="E387" s="2"/>
      <c r="F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N387" s="2">
        <v>63</v>
      </c>
      <c r="AO387" s="2" t="s">
        <v>422</v>
      </c>
    </row>
    <row r="388" spans="3:41" x14ac:dyDescent="0.4">
      <c r="C388" s="2"/>
      <c r="D388" s="2"/>
      <c r="E388" s="2"/>
      <c r="F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N388" s="2">
        <v>64</v>
      </c>
      <c r="AO388" s="2" t="s">
        <v>422</v>
      </c>
    </row>
    <row r="389" spans="3:41" x14ac:dyDescent="0.4">
      <c r="C389" s="2"/>
      <c r="D389" s="2"/>
      <c r="E389" s="2"/>
      <c r="F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N389" s="2">
        <v>65</v>
      </c>
      <c r="AO389" s="2" t="s">
        <v>422</v>
      </c>
    </row>
    <row r="390" spans="3:41" x14ac:dyDescent="0.4">
      <c r="C390" s="2"/>
      <c r="D390" s="2"/>
      <c r="E390" s="2"/>
      <c r="F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N390" s="2">
        <v>66</v>
      </c>
      <c r="AO390" s="2" t="s">
        <v>422</v>
      </c>
    </row>
    <row r="391" spans="3:41" x14ac:dyDescent="0.4">
      <c r="C391" s="2"/>
      <c r="D391" s="2"/>
      <c r="E391" s="2"/>
      <c r="F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N391" s="2">
        <v>67</v>
      </c>
      <c r="AO391" s="2" t="s">
        <v>422</v>
      </c>
    </row>
    <row r="392" spans="3:41" x14ac:dyDescent="0.4">
      <c r="C392" s="2"/>
      <c r="D392" s="2"/>
      <c r="E392" s="2"/>
      <c r="F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N392" s="2">
        <v>68</v>
      </c>
      <c r="AO392" s="2" t="s">
        <v>422</v>
      </c>
    </row>
    <row r="393" spans="3:41" x14ac:dyDescent="0.4">
      <c r="C393" s="2"/>
      <c r="D393" s="2"/>
      <c r="E393" s="2"/>
      <c r="F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N393" s="2">
        <v>69</v>
      </c>
      <c r="AO393" s="2" t="s">
        <v>422</v>
      </c>
    </row>
    <row r="394" spans="3:41" x14ac:dyDescent="0.4">
      <c r="C394" s="2"/>
      <c r="D394" s="2"/>
      <c r="E394" s="2"/>
      <c r="F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N394" s="2">
        <v>70</v>
      </c>
      <c r="AO394" s="2" t="s">
        <v>422</v>
      </c>
    </row>
    <row r="395" spans="3:41" x14ac:dyDescent="0.4">
      <c r="C395" s="2"/>
      <c r="D395" s="2"/>
      <c r="E395" s="2"/>
      <c r="F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N395" s="2">
        <v>71</v>
      </c>
      <c r="AO395" s="2" t="s">
        <v>422</v>
      </c>
    </row>
    <row r="396" spans="3:41" x14ac:dyDescent="0.4">
      <c r="C396" s="2"/>
      <c r="D396" s="2"/>
      <c r="E396" s="2"/>
      <c r="F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N396" s="2">
        <v>72</v>
      </c>
      <c r="AO396" s="2" t="s">
        <v>422</v>
      </c>
    </row>
    <row r="397" spans="3:41" x14ac:dyDescent="0.4">
      <c r="C397" s="2"/>
      <c r="D397" s="2"/>
      <c r="E397" s="2"/>
      <c r="F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N397" s="2">
        <v>73</v>
      </c>
      <c r="AO397" s="2" t="s">
        <v>422</v>
      </c>
    </row>
    <row r="398" spans="3:41" x14ac:dyDescent="0.4">
      <c r="C398" s="2"/>
      <c r="D398" s="2"/>
      <c r="E398" s="2"/>
      <c r="F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N398" s="2">
        <v>74</v>
      </c>
      <c r="AO398" s="2" t="s">
        <v>422</v>
      </c>
    </row>
    <row r="399" spans="3:41" x14ac:dyDescent="0.4">
      <c r="C399" s="2"/>
      <c r="D399" s="2"/>
      <c r="E399" s="2"/>
      <c r="F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N399" s="2">
        <v>75</v>
      </c>
      <c r="AO399" s="2" t="s">
        <v>422</v>
      </c>
    </row>
    <row r="400" spans="3:41" x14ac:dyDescent="0.4">
      <c r="C400" s="2"/>
      <c r="D400" s="2"/>
      <c r="E400" s="2"/>
      <c r="F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N400" s="2">
        <v>76</v>
      </c>
      <c r="AO400" s="2" t="s">
        <v>422</v>
      </c>
    </row>
    <row r="401" spans="3:41" x14ac:dyDescent="0.4">
      <c r="C401" s="2"/>
      <c r="D401" s="2"/>
      <c r="E401" s="2"/>
      <c r="F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N401" s="2">
        <v>77</v>
      </c>
      <c r="AO401" s="2" t="s">
        <v>422</v>
      </c>
    </row>
    <row r="402" spans="3:41" x14ac:dyDescent="0.4">
      <c r="C402" s="2"/>
      <c r="D402" s="2"/>
      <c r="E402" s="2"/>
      <c r="F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N402" s="2">
        <v>78</v>
      </c>
      <c r="AO402" s="2" t="s">
        <v>422</v>
      </c>
    </row>
    <row r="403" spans="3:41" x14ac:dyDescent="0.4">
      <c r="C403" s="2"/>
      <c r="D403" s="2"/>
      <c r="E403" s="2"/>
      <c r="F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N403" s="2">
        <v>79</v>
      </c>
      <c r="AO403" s="2" t="s">
        <v>422</v>
      </c>
    </row>
    <row r="404" spans="3:41" x14ac:dyDescent="0.4">
      <c r="C404" s="2"/>
      <c r="D404" s="2"/>
      <c r="E404" s="2"/>
      <c r="F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N404" s="2">
        <v>80</v>
      </c>
      <c r="AO404" s="2" t="s">
        <v>422</v>
      </c>
    </row>
    <row r="405" spans="3:41" x14ac:dyDescent="0.4">
      <c r="C405" s="2"/>
      <c r="D405" s="2"/>
      <c r="E405" s="2"/>
      <c r="F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N405" s="2">
        <v>1</v>
      </c>
      <c r="AO405" s="2" t="s">
        <v>391</v>
      </c>
    </row>
    <row r="406" spans="3:41" x14ac:dyDescent="0.4">
      <c r="C406" s="2"/>
      <c r="D406" s="2"/>
      <c r="E406" s="2"/>
      <c r="F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N406" s="2">
        <v>2</v>
      </c>
      <c r="AO406" s="2" t="s">
        <v>391</v>
      </c>
    </row>
    <row r="407" spans="3:41" x14ac:dyDescent="0.4">
      <c r="C407" s="2"/>
      <c r="D407" s="2"/>
      <c r="E407" s="2"/>
      <c r="F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N407" s="2">
        <v>3</v>
      </c>
      <c r="AO407" s="2" t="s">
        <v>391</v>
      </c>
    </row>
  </sheetData>
  <mergeCells count="7">
    <mergeCell ref="B124:C124"/>
    <mergeCell ref="E124:G124"/>
    <mergeCell ref="B1:L1"/>
    <mergeCell ref="B2:L2"/>
    <mergeCell ref="B67:L67"/>
    <mergeCell ref="D70:E70"/>
    <mergeCell ref="F70:G70"/>
  </mergeCells>
  <pageMargins left="0.7" right="0.7" top="0.75" bottom="0.75" header="0.3" footer="0.3"/>
  <pageSetup orientation="portrait" r:id="rId1"/>
  <rowBreaks count="1" manualBreakCount="1">
    <brk id="47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Profile17</vt:lpstr>
      <vt:lpstr>SelectDemandStats17</vt:lpstr>
      <vt:lpstr>Profile14 - No Intnl</vt:lpstr>
      <vt:lpstr>'Profile14 - No Intnl'!Print_Area</vt:lpstr>
      <vt:lpstr>Profile17!Print_Area</vt:lpstr>
      <vt:lpstr>SelectDemandStats17!Print_Area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Ranalli, Carlee K (ranallc)</dc:creator>
  <cp:lastModifiedBy>Yelnosky, Robert E (yelnosr)</cp:lastModifiedBy>
  <cp:lastPrinted>2017-03-08T17:57:13Z</cp:lastPrinted>
  <dcterms:created xsi:type="dcterms:W3CDTF">2014-01-10T14:40:18Z</dcterms:created>
  <dcterms:modified xsi:type="dcterms:W3CDTF">2017-10-10T19:40:56Z</dcterms:modified>
</cp:coreProperties>
</file>